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Operaciones" sheetId="2" r:id="rId2"/>
    <sheet name="Cartera" sheetId="3" r:id="rId3"/>
    <sheet name="Resumen" sheetId="4" r:id="rId4"/>
  </sheets>
</workbook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0.00%"/>
    <numFmt numFmtId="166" formatCode="#,##0.####"/>
  </numFmts>
  <fonts count="4">
    <font>
      <sz val="11"/>
      <name val="Calibri"/>
    </font>
    <font>
      <b/>
      <sz val="11"/>
      <name val="Calibri"/>
    </font>
    <font>
      <b/>
      <sz val="11"/>
      <color rgb="FF1A3A6E"/>
      <name val="Calibri"/>
    </font>
    <font>
      <b/>
      <sz val="16"/>
      <color rgb="FF1A3A6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5FF"/>
        <bgColor indexed="64"/>
      </patternFill>
    </fill>
  </fills>
  <borders count="1">
    <border/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2" borderId="0" xfId="0" applyFont="1" applyFill="1"/>
    <xf numFmtId="0" fontId="0" fillId="0" borderId="0" xfId="0"/>
    <xf numFmtId="164" fontId="1" fillId="0" borderId="0" xfId="0" applyNumberFormat="1" applyFont="1"/>
    <xf numFmtId="165" fontId="1" fillId="0" borderId="0" xfId="0" applyNumberFormat="1" applyFont="1"/>
    <xf numFmtId="0" fontId="3" fillId="0" borderId="0" xfId="0" applyFont="1"/>
  </cellXfs>
  <dxfs count="2">
    <dxf>
      <font>
        <color rgb="FFB00020"/>
      </font>
    </dxf>
    <dxf>
      <font>
        <color rgb="FF1B7F3B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4" customWidth="1"/>
  </cols>
  <sheetData>
    <row r="1">
      <c r="A1" s="9" t="inlineStr">
        <is>
          <t xml:space="preserve">Plantilla de seguimiento de cartera</t>
        </is>
      </c>
    </row>
    <row r="2">
      <c r="A2" s="0" t="inlineStr">
        <is>
          <t xml:space="preserve">PlanInversor.com</t>
        </is>
      </c>
    </row>
    <row r="4">
      <c r="A4" s="1" t="inlineStr">
        <is>
          <t xml:space="preserve">Solo tienes que escribir en una pestaña: Operaciones.</t>
        </is>
      </c>
    </row>
    <row r="5">
      <c r="A5" t="inlineStr">
        <is>
          <t xml:space="preserve">Cartera y Resumen se calculan solos a partir de lo que anotes ahí. No toques sus fórmulas.</t>
        </is>
      </c>
    </row>
    <row r="7">
      <c r="A7" s="1" t="inlineStr">
        <is>
          <t xml:space="preserve">Cómo empezar</t>
        </is>
      </c>
    </row>
    <row r="8">
      <c r="A8" t="inlineStr">
        <is>
          <t xml:space="preserve">1. Ve a la pestaña Operaciones y borra las cuatro filas de ejemplo.</t>
        </is>
      </c>
    </row>
    <row r="9">
      <c r="A9" t="inlineStr">
        <is>
          <t xml:space="preserve">2. Anota cada compra: fecha, ticker, tipo, participaciones, precio por participación y comisión.</t>
        </is>
      </c>
    </row>
    <row r="10">
      <c r="A10" t="inlineStr">
        <is>
          <t xml:space="preserve">3. Listo. La pestaña Cartera detecta sola los tickers y suma tus posiciones.</t>
        </is>
      </c>
    </row>
    <row r="12">
      <c r="A12" s="1" t="inlineStr">
        <is>
          <t xml:space="preserve">Cómo se escribe el ticker</t>
        </is>
      </c>
    </row>
    <row r="13">
      <c r="A13" t="inlineStr">
        <is>
          <t xml:space="preserve">Formato BOLSA:TICKER. Los prefijos que funcionan, comprobados uno a uno:</t>
        </is>
      </c>
    </row>
    <row r="14">
      <c r="A14" t="inlineStr">
        <is>
          <t xml:space="preserve">   LON  Londres          ejemplo: LON:CSPX</t>
        </is>
      </c>
    </row>
    <row r="15">
      <c r="A15" t="inlineStr">
        <is>
          <t xml:space="preserve">   AMS  Ámsterdam        ejemplo: AMS:VWCE</t>
        </is>
      </c>
    </row>
    <row r="16">
      <c r="A16" t="inlineStr">
        <is>
          <t xml:space="preserve">   EPA  París            ejemplo: EPA:CW8</t>
        </is>
      </c>
    </row>
    <row r="17">
      <c r="A17" t="inlineStr">
        <is>
          <t xml:space="preserve">   BME  Madrid           ejemplo: BME:SAN</t>
        </is>
      </c>
    </row>
    <row r="18">
      <c r="A18" t="inlineStr">
        <is>
          <t xml:space="preserve">   Acciones de EE. UU.: sin prefijo, solo AAPL o MSFT</t>
        </is>
      </c>
    </row>
    <row r="20">
      <c r="A20" s="1" t="inlineStr">
        <is>
          <t xml:space="preserve">Avisos importantes</t>
        </is>
      </c>
    </row>
    <row r="21">
      <c r="A21" t="inlineStr">
        <is>
          <t xml:space="preserve">NO existe el prefijo LSE. Es LON.</t>
        </is>
      </c>
    </row>
    <row r="22">
      <c r="A22" t="inlineStr">
        <is>
          <t xml:space="preserve">Google Finance no cubre Xetra ni Frankfurt. Si compraste allí, usa la línea del mismo ETF en Ámsterdam.</t>
        </is>
      </c>
    </row>
    <row r="23">
      <c r="A23" t="inlineStr">
        <is>
          <t xml:space="preserve">Londres cotiza muchos ETF en peniques (GBX). Si un precio sale multiplicado por 100, es por eso.</t>
        </is>
      </c>
    </row>
    <row r="24">
      <c r="A24" t="inlineStr">
        <is>
          <t xml:space="preserve">Esta hoja necesita Google Sheets. En Excel la función GOOGLEFINANCE no existe y los precios no se actualizan.</t>
        </is>
      </c>
    </row>
    <row r="26">
      <c r="A26" t="inlineStr">
        <is>
          <t xml:space="preserve">Guía completa: https://planinversor.com/google-sheets-seguimiento-cartera/</t>
        </is>
      </c>
    </row>
    <row r="27">
      <c r="A27" t="inlineStr">
        <is>
          <t xml:space="preserve">Qué es el XIRR: https://planinversor.com/calcular-rentabilidad-real-cartera-xirr/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4" customWidth="1"/>
    <col min="3" max="3" width="11" customWidth="1"/>
    <col min="4" max="4" width="15" customWidth="1"/>
    <col min="5" max="6" width="13" customWidth="1"/>
    <col min="7" max="7" width="16" customWidth="1"/>
  </cols>
  <sheetData>
    <row r="1">
      <c r="A1" s="5" t="inlineStr">
        <is>
          <t xml:space="preserve">Fecha</t>
        </is>
      </c>
      <c r="B1" s="5" t="inlineStr">
        <is>
          <t xml:space="preserve">Ticker</t>
        </is>
      </c>
      <c r="C1" s="5" t="inlineStr">
        <is>
          <t xml:space="preserve">Tipo</t>
        </is>
      </c>
      <c r="D1" s="5" t="inlineStr">
        <is>
          <t xml:space="preserve">Participaciones</t>
        </is>
      </c>
      <c r="E1" s="5" t="inlineStr">
        <is>
          <t xml:space="preserve">Precio</t>
        </is>
      </c>
      <c r="F1" s="5" t="inlineStr">
        <is>
          <t xml:space="preserve">Comisión</t>
        </is>
      </c>
      <c r="G1" s="5" t="inlineStr">
        <is>
          <t xml:space="preserve">Importe (EUR)</t>
        </is>
      </c>
    </row>
    <row r="2">
      <c r="A2" s="2">
        <f>DATE(2026,1,15)</f>
      </c>
      <c r="B2" t="inlineStr">
        <is>
          <t xml:space="preserve">AMS:VWCE</t>
        </is>
      </c>
      <c r="C2" t="inlineStr">
        <is>
          <t xml:space="preserve">Compra</t>
        </is>
      </c>
      <c r="D2">
        <v>5</v>
      </c>
      <c r="E2" s="3">
        <v>152.4</v>
      </c>
      <c r="F2" s="3">
        <v>1</v>
      </c>
      <c r="G2" s="3">
        <f>IF($D2="","",IF($C2="Venta",$D2*$E2-$F2,$D2*$E2+$F2))</f>
      </c>
    </row>
    <row r="3">
      <c r="A3" s="2">
        <f>DATE(2026,3,10)</f>
      </c>
      <c r="B3" t="inlineStr">
        <is>
          <t xml:space="preserve">AMS:IWDA</t>
        </is>
      </c>
      <c r="C3" t="inlineStr">
        <is>
          <t xml:space="preserve">Compra</t>
        </is>
      </c>
      <c r="D3">
        <v>4</v>
      </c>
      <c r="E3" s="3">
        <v>118.9</v>
      </c>
      <c r="F3" s="3">
        <v>1</v>
      </c>
      <c r="G3" s="3">
        <f>IF($D3="","",IF($C3="Venta",$D3*$E3-$F3,$D3*$E3+$F3))</f>
      </c>
    </row>
    <row r="4">
      <c r="A4" s="2">
        <f>DATE(2026,5,12)</f>
      </c>
      <c r="B4" t="inlineStr">
        <is>
          <t xml:space="preserve">AMS:VWCE</t>
        </is>
      </c>
      <c r="C4" t="inlineStr">
        <is>
          <t xml:space="preserve">Compra</t>
        </is>
      </c>
      <c r="D4">
        <v>3</v>
      </c>
      <c r="E4" s="3">
        <v>161.2</v>
      </c>
      <c r="F4" s="3">
        <v>1</v>
      </c>
      <c r="G4" s="3">
        <f>IF($D4="","",IF($C4="Venta",$D4*$E4-$F4,$D4*$E4+$F4))</f>
      </c>
    </row>
    <row r="5">
      <c r="A5" s="2">
        <f>DATE(2026,7,8)</f>
      </c>
      <c r="B5" t="inlineStr">
        <is>
          <t xml:space="preserve">AMS:IWDA</t>
        </is>
      </c>
      <c r="C5" t="inlineStr">
        <is>
          <t xml:space="preserve">Compra</t>
        </is>
      </c>
      <c r="D5">
        <v>6</v>
      </c>
      <c r="E5" s="3">
        <v>125.3</v>
      </c>
      <c r="F5" s="3">
        <v>1</v>
      </c>
      <c r="G5" s="3">
        <f>IF($D5="","",IF($C5="Venta",$D5*$E5-$F5,$D5*$E5+$F5))</f>
      </c>
    </row>
    <row r="6">
      <c r="G6" s="3">
        <f>IF($D6="","",IF($C6="Venta",$D6*$E6-$F6,$D6*$E6+$F6))</f>
      </c>
    </row>
    <row r="7">
      <c r="G7" s="3">
        <f>IF($D7="","",IF($C7="Venta",$D7*$E7-$F7,$D7*$E7+$F7))</f>
      </c>
    </row>
    <row r="8">
      <c r="G8" s="3">
        <f>IF($D8="","",IF($C8="Venta",$D8*$E8-$F8,$D8*$E8+$F8))</f>
      </c>
    </row>
    <row r="9">
      <c r="G9" s="3">
        <f>IF($D9="","",IF($C9="Venta",$D9*$E9-$F9,$D9*$E9+$F9))</f>
      </c>
    </row>
    <row r="10">
      <c r="G10" s="3">
        <f>IF($D10="","",IF($C10="Venta",$D10*$E10-$F10,$D10*$E10+$F10))</f>
      </c>
    </row>
    <row r="11">
      <c r="G11" s="3">
        <f>IF($D11="","",IF($C11="Venta",$D11*$E11-$F11,$D11*$E11+$F11))</f>
      </c>
    </row>
    <row r="12">
      <c r="G12" s="3">
        <f>IF($D12="","",IF($C12="Venta",$D12*$E12-$F12,$D12*$E12+$F12))</f>
      </c>
    </row>
    <row r="13">
      <c r="G13" s="3">
        <f>IF($D13="","",IF($C13="Venta",$D13*$E13-$F13,$D13*$E13+$F13))</f>
      </c>
    </row>
    <row r="14">
      <c r="G14" s="3">
        <f>IF($D14="","",IF($C14="Venta",$D14*$E14-$F14,$D14*$E14+$F14))</f>
      </c>
    </row>
    <row r="15">
      <c r="G15" s="3">
        <f>IF($D15="","",IF($C15="Venta",$D15*$E15-$F15,$D15*$E15+$F15))</f>
      </c>
    </row>
    <row r="16">
      <c r="G16" s="3">
        <f>IF($D16="","",IF($C16="Venta",$D16*$E16-$F16,$D16*$E16+$F16))</f>
      </c>
    </row>
    <row r="17">
      <c r="G17" s="3">
        <f>IF($D17="","",IF($C17="Venta",$D17*$E17-$F17,$D17*$E17+$F17))</f>
      </c>
    </row>
    <row r="18">
      <c r="G18" s="3">
        <f>IF($D18="","",IF($C18="Venta",$D18*$E18-$F18,$D18*$E18+$F18))</f>
      </c>
    </row>
    <row r="19">
      <c r="G19" s="3">
        <f>IF($D19="","",IF($C19="Venta",$D19*$E19-$F19,$D19*$E19+$F19))</f>
      </c>
    </row>
    <row r="20">
      <c r="G20" s="3">
        <f>IF($D20="","",IF($C20="Venta",$D20*$E20-$F20,$D20*$E20+$F20))</f>
      </c>
    </row>
    <row r="21">
      <c r="G21" s="3">
        <f>IF($D21="","",IF($C21="Venta",$D21*$E21-$F21,$D21*$E21+$F21))</f>
      </c>
    </row>
    <row r="22">
      <c r="G22" s="3">
        <f>IF($D22="","",IF($C22="Venta",$D22*$E22-$F22,$D22*$E22+$F22))</f>
      </c>
    </row>
    <row r="23">
      <c r="G23" s="3">
        <f>IF($D23="","",IF($C23="Venta",$D23*$E23-$F23,$D23*$E23+$F23))</f>
      </c>
    </row>
    <row r="24">
      <c r="G24" s="3">
        <f>IF($D24="","",IF($C24="Venta",$D24*$E24-$F24,$D24*$E24+$F24))</f>
      </c>
    </row>
    <row r="25">
      <c r="G25" s="3">
        <f>IF($D25="","",IF($C25="Venta",$D25*$E25-$F25,$D25*$E25+$F25))</f>
      </c>
    </row>
    <row r="26">
      <c r="G26" s="3">
        <f>IF($D26="","",IF($C26="Venta",$D26*$E26-$F26,$D26*$E26+$F26))</f>
      </c>
    </row>
    <row r="27">
      <c r="G27" s="3">
        <f>IF($D27="","",IF($C27="Venta",$D27*$E27-$F27,$D27*$E27+$F27))</f>
      </c>
    </row>
    <row r="28">
      <c r="G28" s="3">
        <f>IF($D28="","",IF($C28="Venta",$D28*$E28-$F28,$D28*$E28+$F28))</f>
      </c>
    </row>
    <row r="29">
      <c r="G29" s="3">
        <f>IF($D29="","",IF($C29="Venta",$D29*$E29-$F29,$D29*$E29+$F29))</f>
      </c>
    </row>
    <row r="30">
      <c r="G30" s="3">
        <f>IF($D30="","",IF($C30="Venta",$D30*$E30-$F30,$D30*$E30+$F30))</f>
      </c>
    </row>
    <row r="31">
      <c r="G31" s="3">
        <f>IF($D31="","",IF($C31="Venta",$D31*$E31-$F31,$D31*$E31+$F31))</f>
      </c>
    </row>
    <row r="32">
      <c r="G32" s="3">
        <f>IF($D32="","",IF($C32="Venta",$D32*$E32-$F32,$D32*$E32+$F32))</f>
      </c>
    </row>
    <row r="33">
      <c r="G33" s="3">
        <f>IF($D33="","",IF($C33="Venta",$D33*$E33-$F33,$D33*$E33+$F33))</f>
      </c>
    </row>
    <row r="34">
      <c r="G34" s="3">
        <f>IF($D34="","",IF($C34="Venta",$D34*$E34-$F34,$D34*$E34+$F34))</f>
      </c>
    </row>
    <row r="35">
      <c r="G35" s="3">
        <f>IF($D35="","",IF($C35="Venta",$D35*$E35-$F35,$D35*$E35+$F35))</f>
      </c>
    </row>
    <row r="36">
      <c r="G36" s="3">
        <f>IF($D36="","",IF($C36="Venta",$D36*$E36-$F36,$D36*$E36+$F36))</f>
      </c>
    </row>
    <row r="37">
      <c r="G37" s="3">
        <f>IF($D37="","",IF($C37="Venta",$D37*$E37-$F37,$D37*$E37+$F37))</f>
      </c>
    </row>
    <row r="38">
      <c r="G38" s="3">
        <f>IF($D38="","",IF($C38="Venta",$D38*$E38-$F38,$D38*$E38+$F38))</f>
      </c>
    </row>
    <row r="39">
      <c r="G39" s="3">
        <f>IF($D39="","",IF($C39="Venta",$D39*$E39-$F39,$D39*$E39+$F39))</f>
      </c>
    </row>
    <row r="40">
      <c r="G40" s="3">
        <f>IF($D40="","",IF($C40="Venta",$D40*$E40-$F40,$D40*$E40+$F40))</f>
      </c>
    </row>
    <row r="41">
      <c r="G41" s="3">
        <f>IF($D41="","",IF($C41="Venta",$D41*$E41-$F41,$D41*$E41+$F41))</f>
      </c>
    </row>
    <row r="42">
      <c r="G42" s="3">
        <f>IF($D42="","",IF($C42="Venta",$D42*$E42-$F42,$D42*$E42+$F42))</f>
      </c>
    </row>
    <row r="43">
      <c r="G43" s="3">
        <f>IF($D43="","",IF($C43="Venta",$D43*$E43-$F43,$D43*$E43+$F43))</f>
      </c>
    </row>
    <row r="44">
      <c r="G44" s="3">
        <f>IF($D44="","",IF($C44="Venta",$D44*$E44-$F44,$D44*$E44+$F44))</f>
      </c>
    </row>
    <row r="45">
      <c r="G45" s="3">
        <f>IF($D45="","",IF($C45="Venta",$D45*$E45-$F45,$D45*$E45+$F45))</f>
      </c>
    </row>
    <row r="46">
      <c r="G46" s="3">
        <f>IF($D46="","",IF($C46="Venta",$D46*$E46-$F46,$D46*$E46+$F46))</f>
      </c>
    </row>
    <row r="47">
      <c r="G47" s="3">
        <f>IF($D47="","",IF($C47="Venta",$D47*$E47-$F47,$D47*$E47+$F47))</f>
      </c>
    </row>
    <row r="48">
      <c r="G48" s="3">
        <f>IF($D48="","",IF($C48="Venta",$D48*$E48-$F48,$D48*$E48+$F48))</f>
      </c>
    </row>
    <row r="49">
      <c r="G49" s="3">
        <f>IF($D49="","",IF($C49="Venta",$D49*$E49-$F49,$D49*$E49+$F49))</f>
      </c>
    </row>
    <row r="50">
      <c r="G50" s="3">
        <f>IF($D50="","",IF($C50="Venta",$D50*$E50-$F50,$D50*$E50+$F50))</f>
      </c>
    </row>
    <row r="51">
      <c r="G51" s="3">
        <f>IF($D51="","",IF($C51="Venta",$D51*$E51-$F51,$D51*$E51+$F51))</f>
      </c>
    </row>
    <row r="52">
      <c r="G52" s="3">
        <f>IF($D52="","",IF($C52="Venta",$D52*$E52-$F52,$D52*$E52+$F52))</f>
      </c>
    </row>
    <row r="53">
      <c r="G53" s="3">
        <f>IF($D53="","",IF($C53="Venta",$D53*$E53-$F53,$D53*$E53+$F53))</f>
      </c>
    </row>
    <row r="54">
      <c r="G54" s="3">
        <f>IF($D54="","",IF($C54="Venta",$D54*$E54-$F54,$D54*$E54+$F54))</f>
      </c>
    </row>
    <row r="55">
      <c r="G55" s="3">
        <f>IF($D55="","",IF($C55="Venta",$D55*$E55-$F55,$D55*$E55+$F55))</f>
      </c>
    </row>
    <row r="56">
      <c r="G56" s="3">
        <f>IF($D56="","",IF($C56="Venta",$D56*$E56-$F56,$D56*$E56+$F56))</f>
      </c>
    </row>
    <row r="57">
      <c r="G57" s="3">
        <f>IF($D57="","",IF($C57="Venta",$D57*$E57-$F57,$D57*$E57+$F57))</f>
      </c>
    </row>
    <row r="58">
      <c r="G58" s="3">
        <f>IF($D58="","",IF($C58="Venta",$D58*$E58-$F58,$D58*$E58+$F58))</f>
      </c>
    </row>
    <row r="59">
      <c r="G59" s="3">
        <f>IF($D59="","",IF($C59="Venta",$D59*$E59-$F59,$D59*$E59+$F59))</f>
      </c>
    </row>
    <row r="60">
      <c r="G60" s="3">
        <f>IF($D60="","",IF($C60="Venta",$D60*$E60-$F60,$D60*$E60+$F60))</f>
      </c>
    </row>
    <row r="61">
      <c r="G61" s="3">
        <f>IF($D61="","",IF($C61="Venta",$D61*$E61-$F61,$D61*$E61+$F61))</f>
      </c>
    </row>
    <row r="62">
      <c r="G62" s="3">
        <f>IF($D62="","",IF($C62="Venta",$D62*$E62-$F62,$D62*$E62+$F62))</f>
      </c>
    </row>
    <row r="63">
      <c r="G63" s="3">
        <f>IF($D63="","",IF($C63="Venta",$D63*$E63-$F63,$D63*$E63+$F63))</f>
      </c>
    </row>
    <row r="64">
      <c r="G64" s="3">
        <f>IF($D64="","",IF($C64="Venta",$D64*$E64-$F64,$D64*$E64+$F64))</f>
      </c>
    </row>
    <row r="65">
      <c r="G65" s="3">
        <f>IF($D65="","",IF($C65="Venta",$D65*$E65-$F65,$D65*$E65+$F65))</f>
      </c>
    </row>
    <row r="66">
      <c r="G66" s="3">
        <f>IF($D66="","",IF($C66="Venta",$D66*$E66-$F66,$D66*$E66+$F66))</f>
      </c>
    </row>
    <row r="67">
      <c r="G67" s="3">
        <f>IF($D67="","",IF($C67="Venta",$D67*$E67-$F67,$D67*$E67+$F67))</f>
      </c>
    </row>
    <row r="68">
      <c r="G68" s="3">
        <f>IF($D68="","",IF($C68="Venta",$D68*$E68-$F68,$D68*$E68+$F68))</f>
      </c>
    </row>
    <row r="69">
      <c r="G69" s="3">
        <f>IF($D69="","",IF($C69="Venta",$D69*$E69-$F69,$D69*$E69+$F69))</f>
      </c>
    </row>
    <row r="70">
      <c r="G70" s="3">
        <f>IF($D70="","",IF($C70="Venta",$D70*$E70-$F70,$D70*$E70+$F70))</f>
      </c>
    </row>
    <row r="71">
      <c r="G71" s="3">
        <f>IF($D71="","",IF($C71="Venta",$D71*$E71-$F71,$D71*$E71+$F71))</f>
      </c>
    </row>
    <row r="72">
      <c r="G72" s="3">
        <f>IF($D72="","",IF($C72="Venta",$D72*$E72-$F72,$D72*$E72+$F72))</f>
      </c>
    </row>
    <row r="73">
      <c r="G73" s="3">
        <f>IF($D73="","",IF($C73="Venta",$D73*$E73-$F73,$D73*$E73+$F73))</f>
      </c>
    </row>
    <row r="74">
      <c r="G74" s="3">
        <f>IF($D74="","",IF($C74="Venta",$D74*$E74-$F74,$D74*$E74+$F74))</f>
      </c>
    </row>
    <row r="75">
      <c r="G75" s="3">
        <f>IF($D75="","",IF($C75="Venta",$D75*$E75-$F75,$D75*$E75+$F75))</f>
      </c>
    </row>
    <row r="76">
      <c r="G76" s="3">
        <f>IF($D76="","",IF($C76="Venta",$D76*$E76-$F76,$D76*$E76+$F76))</f>
      </c>
    </row>
    <row r="77">
      <c r="G77" s="3">
        <f>IF($D77="","",IF($C77="Venta",$D77*$E77-$F77,$D77*$E77+$F77))</f>
      </c>
    </row>
    <row r="78">
      <c r="G78" s="3">
        <f>IF($D78="","",IF($C78="Venta",$D78*$E78-$F78,$D78*$E78+$F78))</f>
      </c>
    </row>
    <row r="79">
      <c r="G79" s="3">
        <f>IF($D79="","",IF($C79="Venta",$D79*$E79-$F79,$D79*$E79+$F79))</f>
      </c>
    </row>
    <row r="80">
      <c r="G80" s="3">
        <f>IF($D80="","",IF($C80="Venta",$D80*$E80-$F80,$D80*$E80+$F80))</f>
      </c>
    </row>
    <row r="81">
      <c r="G81" s="3">
        <f>IF($D81="","",IF($C81="Venta",$D81*$E81-$F81,$D81*$E81+$F81))</f>
      </c>
    </row>
    <row r="82">
      <c r="G82" s="3">
        <f>IF($D82="","",IF($C82="Venta",$D82*$E82-$F82,$D82*$E82+$F82))</f>
      </c>
    </row>
    <row r="83">
      <c r="G83" s="3">
        <f>IF($D83="","",IF($C83="Venta",$D83*$E83-$F83,$D83*$E83+$F83))</f>
      </c>
    </row>
    <row r="84">
      <c r="G84" s="3">
        <f>IF($D84="","",IF($C84="Venta",$D84*$E84-$F84,$D84*$E84+$F84))</f>
      </c>
    </row>
    <row r="85">
      <c r="G85" s="3">
        <f>IF($D85="","",IF($C85="Venta",$D85*$E85-$F85,$D85*$E85+$F85))</f>
      </c>
    </row>
    <row r="86">
      <c r="G86" s="3">
        <f>IF($D86="","",IF($C86="Venta",$D86*$E86-$F86,$D86*$E86+$F86))</f>
      </c>
    </row>
    <row r="87">
      <c r="G87" s="3">
        <f>IF($D87="","",IF($C87="Venta",$D87*$E87-$F87,$D87*$E87+$F87))</f>
      </c>
    </row>
    <row r="88">
      <c r="G88" s="3">
        <f>IF($D88="","",IF($C88="Venta",$D88*$E88-$F88,$D88*$E88+$F88))</f>
      </c>
    </row>
    <row r="89">
      <c r="G89" s="3">
        <f>IF($D89="","",IF($C89="Venta",$D89*$E89-$F89,$D89*$E89+$F89))</f>
      </c>
    </row>
    <row r="90">
      <c r="G90" s="3">
        <f>IF($D90="","",IF($C90="Venta",$D90*$E90-$F90,$D90*$E90+$F90))</f>
      </c>
    </row>
    <row r="91">
      <c r="G91" s="3">
        <f>IF($D91="","",IF($C91="Venta",$D91*$E91-$F91,$D91*$E91+$F91))</f>
      </c>
    </row>
    <row r="92">
      <c r="G92" s="3">
        <f>IF($D92="","",IF($C92="Venta",$D92*$E92-$F92,$D92*$E92+$F92))</f>
      </c>
    </row>
    <row r="93">
      <c r="G93" s="3">
        <f>IF($D93="","",IF($C93="Venta",$D93*$E93-$F93,$D93*$E93+$F93))</f>
      </c>
    </row>
    <row r="94">
      <c r="G94" s="3">
        <f>IF($D94="","",IF($C94="Venta",$D94*$E94-$F94,$D94*$E94+$F94))</f>
      </c>
    </row>
    <row r="95">
      <c r="G95" s="3">
        <f>IF($D95="","",IF($C95="Venta",$D95*$E95-$F95,$D95*$E95+$F95))</f>
      </c>
    </row>
    <row r="96">
      <c r="G96" s="3">
        <f>IF($D96="","",IF($C96="Venta",$D96*$E96-$F96,$D96*$E96+$F96))</f>
      </c>
    </row>
    <row r="97">
      <c r="G97" s="3">
        <f>IF($D97="","",IF($C97="Venta",$D97*$E97-$F97,$D97*$E97+$F97))</f>
      </c>
    </row>
    <row r="98">
      <c r="G98" s="3">
        <f>IF($D98="","",IF($C98="Venta",$D98*$E98-$F98,$D98*$E98+$F98))</f>
      </c>
    </row>
    <row r="99">
      <c r="G99" s="3">
        <f>IF($D99="","",IF($C99="Venta",$D99*$E99-$F99,$D99*$E99+$F99))</f>
      </c>
    </row>
    <row r="100">
      <c r="G100" s="3">
        <f>IF($D100="","",IF($C100="Venta",$D100*$E100-$F100,$D100*$E100+$F100))</f>
      </c>
    </row>
    <row r="101">
      <c r="G101" s="3">
        <f>IF($D101="","",IF($C101="Venta",$D101*$E101-$F101,$D101*$E101+$F101))</f>
      </c>
    </row>
    <row r="102">
      <c r="G102" s="3">
        <f>IF($D102="","",IF($C102="Venta",$D102*$E102-$F102,$D102*$E102+$F102))</f>
      </c>
    </row>
    <row r="103">
      <c r="G103" s="3">
        <f>IF($D103="","",IF($C103="Venta",$D103*$E103-$F103,$D103*$E103+$F103))</f>
      </c>
    </row>
    <row r="104">
      <c r="G104" s="3">
        <f>IF($D104="","",IF($C104="Venta",$D104*$E104-$F104,$D104*$E104+$F104))</f>
      </c>
    </row>
    <row r="105">
      <c r="G105" s="3">
        <f>IF($D105="","",IF($C105="Venta",$D105*$E105-$F105,$D105*$E105+$F105))</f>
      </c>
    </row>
    <row r="106">
      <c r="G106" s="3">
        <f>IF($D106="","",IF($C106="Venta",$D106*$E106-$F106,$D106*$E106+$F106))</f>
      </c>
    </row>
    <row r="107">
      <c r="G107" s="3">
        <f>IF($D107="","",IF($C107="Venta",$D107*$E107-$F107,$D107*$E107+$F107))</f>
      </c>
    </row>
    <row r="108">
      <c r="G108" s="3">
        <f>IF($D108="","",IF($C108="Venta",$D108*$E108-$F108,$D108*$E108+$F108))</f>
      </c>
    </row>
    <row r="109">
      <c r="G109" s="3">
        <f>IF($D109="","",IF($C109="Venta",$D109*$E109-$F109,$D109*$E109+$F109))</f>
      </c>
    </row>
    <row r="110">
      <c r="G110" s="3">
        <f>IF($D110="","",IF($C110="Venta",$D110*$E110-$F110,$D110*$E110+$F110))</f>
      </c>
    </row>
    <row r="111">
      <c r="G111" s="3">
        <f>IF($D111="","",IF($C111="Venta",$D111*$E111-$F111,$D111*$E111+$F111))</f>
      </c>
    </row>
    <row r="112">
      <c r="G112" s="3">
        <f>IF($D112="","",IF($C112="Venta",$D112*$E112-$F112,$D112*$E112+$F112))</f>
      </c>
    </row>
    <row r="113">
      <c r="G113" s="3">
        <f>IF($D113="","",IF($C113="Venta",$D113*$E113-$F113,$D113*$E113+$F113))</f>
      </c>
    </row>
    <row r="114">
      <c r="G114" s="3">
        <f>IF($D114="","",IF($C114="Venta",$D114*$E114-$F114,$D114*$E114+$F114))</f>
      </c>
    </row>
    <row r="115">
      <c r="G115" s="3">
        <f>IF($D115="","",IF($C115="Venta",$D115*$E115-$F115,$D115*$E115+$F115))</f>
      </c>
    </row>
    <row r="116">
      <c r="G116" s="3">
        <f>IF($D116="","",IF($C116="Venta",$D116*$E116-$F116,$D116*$E116+$F116))</f>
      </c>
    </row>
    <row r="117">
      <c r="G117" s="3">
        <f>IF($D117="","",IF($C117="Venta",$D117*$E117-$F117,$D117*$E117+$F117))</f>
      </c>
    </row>
    <row r="118">
      <c r="G118" s="3">
        <f>IF($D118="","",IF($C118="Venta",$D118*$E118-$F118,$D118*$E118+$F118))</f>
      </c>
    </row>
    <row r="119">
      <c r="G119" s="3">
        <f>IF($D119="","",IF($C119="Venta",$D119*$E119-$F119,$D119*$E119+$F119))</f>
      </c>
    </row>
    <row r="120">
      <c r="G120" s="3">
        <f>IF($D120="","",IF($C120="Venta",$D120*$E120-$F120,$D120*$E120+$F120))</f>
      </c>
    </row>
    <row r="121">
      <c r="G121" s="3">
        <f>IF($D121="","",IF($C121="Venta",$D121*$E121-$F121,$D121*$E121+$F121))</f>
      </c>
    </row>
    <row r="122">
      <c r="G122" s="3">
        <f>IF($D122="","",IF($C122="Venta",$D122*$E122-$F122,$D122*$E122+$F122))</f>
      </c>
    </row>
    <row r="123">
      <c r="G123" s="3">
        <f>IF($D123="","",IF($C123="Venta",$D123*$E123-$F123,$D123*$E123+$F123))</f>
      </c>
    </row>
    <row r="124">
      <c r="G124" s="3">
        <f>IF($D124="","",IF($C124="Venta",$D124*$E124-$F124,$D124*$E124+$F124))</f>
      </c>
    </row>
    <row r="125">
      <c r="G125" s="3">
        <f>IF($D125="","",IF($C125="Venta",$D125*$E125-$F125,$D125*$E125+$F125))</f>
      </c>
    </row>
    <row r="126">
      <c r="G126" s="3">
        <f>IF($D126="","",IF($C126="Venta",$D126*$E126-$F126,$D126*$E126+$F126))</f>
      </c>
    </row>
    <row r="127">
      <c r="G127" s="3">
        <f>IF($D127="","",IF($C127="Venta",$D127*$E127-$F127,$D127*$E127+$F127))</f>
      </c>
    </row>
    <row r="128">
      <c r="G128" s="3">
        <f>IF($D128="","",IF($C128="Venta",$D128*$E128-$F128,$D128*$E128+$F128))</f>
      </c>
    </row>
    <row r="129">
      <c r="G129" s="3">
        <f>IF($D129="","",IF($C129="Venta",$D129*$E129-$F129,$D129*$E129+$F129))</f>
      </c>
    </row>
    <row r="130">
      <c r="G130" s="3">
        <f>IF($D130="","",IF($C130="Venta",$D130*$E130-$F130,$D130*$E130+$F130))</f>
      </c>
    </row>
    <row r="131">
      <c r="G131" s="3">
        <f>IF($D131="","",IF($C131="Venta",$D131*$E131-$F131,$D131*$E131+$F131))</f>
      </c>
    </row>
    <row r="132">
      <c r="G132" s="3">
        <f>IF($D132="","",IF($C132="Venta",$D132*$E132-$F132,$D132*$E132+$F132))</f>
      </c>
    </row>
    <row r="133">
      <c r="G133" s="3">
        <f>IF($D133="","",IF($C133="Venta",$D133*$E133-$F133,$D133*$E133+$F133))</f>
      </c>
    </row>
    <row r="134">
      <c r="G134" s="3">
        <f>IF($D134="","",IF($C134="Venta",$D134*$E134-$F134,$D134*$E134+$F134))</f>
      </c>
    </row>
    <row r="135">
      <c r="G135" s="3">
        <f>IF($D135="","",IF($C135="Venta",$D135*$E135-$F135,$D135*$E135+$F135))</f>
      </c>
    </row>
    <row r="136">
      <c r="G136" s="3">
        <f>IF($D136="","",IF($C136="Venta",$D136*$E136-$F136,$D136*$E136+$F136))</f>
      </c>
    </row>
    <row r="137">
      <c r="G137" s="3">
        <f>IF($D137="","",IF($C137="Venta",$D137*$E137-$F137,$D137*$E137+$F137))</f>
      </c>
    </row>
    <row r="138">
      <c r="G138" s="3">
        <f>IF($D138="","",IF($C138="Venta",$D138*$E138-$F138,$D138*$E138+$F138))</f>
      </c>
    </row>
    <row r="139">
      <c r="G139" s="3">
        <f>IF($D139="","",IF($C139="Venta",$D139*$E139-$F139,$D139*$E139+$F139))</f>
      </c>
    </row>
    <row r="140">
      <c r="G140" s="3">
        <f>IF($D140="","",IF($C140="Venta",$D140*$E140-$F140,$D140*$E140+$F140))</f>
      </c>
    </row>
    <row r="141">
      <c r="G141" s="3">
        <f>IF($D141="","",IF($C141="Venta",$D141*$E141-$F141,$D141*$E141+$F141))</f>
      </c>
    </row>
    <row r="142">
      <c r="G142" s="3">
        <f>IF($D142="","",IF($C142="Venta",$D142*$E142-$F142,$D142*$E142+$F142))</f>
      </c>
    </row>
    <row r="143">
      <c r="G143" s="3">
        <f>IF($D143="","",IF($C143="Venta",$D143*$E143-$F143,$D143*$E143+$F143))</f>
      </c>
    </row>
    <row r="144">
      <c r="G144" s="3">
        <f>IF($D144="","",IF($C144="Venta",$D144*$E144-$F144,$D144*$E144+$F144))</f>
      </c>
    </row>
    <row r="145">
      <c r="G145" s="3">
        <f>IF($D145="","",IF($C145="Venta",$D145*$E145-$F145,$D145*$E145+$F145))</f>
      </c>
    </row>
    <row r="146">
      <c r="G146" s="3">
        <f>IF($D146="","",IF($C146="Venta",$D146*$E146-$F146,$D146*$E146+$F146))</f>
      </c>
    </row>
    <row r="147">
      <c r="G147" s="3">
        <f>IF($D147="","",IF($C147="Venta",$D147*$E147-$F147,$D147*$E147+$F147))</f>
      </c>
    </row>
    <row r="148">
      <c r="G148" s="3">
        <f>IF($D148="","",IF($C148="Venta",$D148*$E148-$F148,$D148*$E148+$F148))</f>
      </c>
    </row>
    <row r="149">
      <c r="G149" s="3">
        <f>IF($D149="","",IF($C149="Venta",$D149*$E149-$F149,$D149*$E149+$F149))</f>
      </c>
    </row>
    <row r="150">
      <c r="G150" s="3">
        <f>IF($D150="","",IF($C150="Venta",$D150*$E150-$F150,$D150*$E150+$F150))</f>
      </c>
    </row>
    <row r="151">
      <c r="G151" s="3">
        <f>IF($D151="","",IF($C151="Venta",$D151*$E151-$F151,$D151*$E151+$F151))</f>
      </c>
    </row>
  </sheetData>
  <dataValidations count="1">
    <dataValidation type="list" allowBlank="1" showInputMessage="1" showErrorMessage="1" sqref="C2:C151">
      <formula1>"Compra,Venta"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15" customWidth="1"/>
    <col min="3" max="3" width="13" customWidth="1"/>
    <col min="4" max="4" width="9" customWidth="1"/>
    <col min="5" max="8" width="18" customWidth="1"/>
    <col min="9" max="10" width="13" customWidth="1"/>
  </cols>
  <sheetData>
    <row r="1">
      <c r="A1" s="5" t="inlineStr">
        <is>
          <t xml:space="preserve">Ticker</t>
        </is>
      </c>
      <c r="B1" s="5" t="inlineStr">
        <is>
          <t xml:space="preserve">Participaciones</t>
        </is>
      </c>
      <c r="C1" s="5" t="inlineStr">
        <is>
          <t xml:space="preserve">Precio</t>
        </is>
      </c>
      <c r="D1" s="5" t="inlineStr">
        <is>
          <t xml:space="preserve">Divisa</t>
        </is>
      </c>
      <c r="E1" s="5" t="inlineStr">
        <is>
          <t xml:space="preserve">Valor (divisa)</t>
        </is>
      </c>
      <c r="F1" s="5" t="inlineStr">
        <is>
          <t xml:space="preserve">Valor (EUR)</t>
        </is>
      </c>
      <c r="G1" s="5" t="inlineStr">
        <is>
          <t xml:space="preserve">Invertido neto (EUR)</t>
        </is>
      </c>
      <c r="H1" s="5" t="inlineStr">
        <is>
          <t xml:space="preserve">Ganancia (EUR)</t>
        </is>
      </c>
      <c r="I1" s="5" t="inlineStr">
        <is>
          <t xml:space="preserve">Rentabilidad</t>
        </is>
      </c>
      <c r="J1" s="5" t="inlineStr">
        <is>
          <t xml:space="preserve">Peso</t>
        </is>
      </c>
    </row>
    <row r="2">
      <c r="A2">
        <f>IFERROR(INDEX(SORT(UNIQUE(FILTER(Operaciones!$B$2:$B$151,Operaciones!$B$2:$B$151&lt;&gt;""))),1),"")</f>
      </c>
      <c r="B2" s="6">
        <f>IF($A2="","",SUMIFS(Operaciones!$D$2:$D$151,Operaciones!$B$2:$B$151,$A2,Operaciones!$C$2:$C$151,"Compra")-SUMIFS(Operaciones!$D$2:$D$151,Operaciones!$B$2:$B$151,$A2,Operaciones!$C$2:$C$151,"Venta"))</f>
      </c>
      <c r="C2" s="3">
        <f>IF($A2="","",IFERROR(GOOGLEFINANCE($A2,"price"),"sin dato"))</f>
      </c>
      <c r="D2">
        <f>IF($A2="","",IFERROR(GOOGLEFINANCE($A2,"currency"),""))</f>
      </c>
      <c r="E2" s="3">
        <f>IF($A2="","",IFERROR($B2*$C2,""))</f>
      </c>
      <c r="F2" s="3">
        <f>IF($A2="","",IFERROR(IF($D2="EUR",$E2,$E2*GOOGLEFINANCE("CURRENCY:"&amp;$D2&amp;"EUR")),""))</f>
      </c>
      <c r="G2" s="3">
        <f>IF($A2="","",SUMIFS(Operaciones!$G$2:$G$151,Operaciones!$B$2:$B$151,$A2,Operaciones!$C$2:$C$151,"Compra")-SUMIFS(Operaciones!$G$2:$G$151,Operaciones!$B$2:$B$151,$A2,Operaciones!$C$2:$C$151,"Venta"))</f>
      </c>
      <c r="H2" s="3">
        <f>IF($A2="","",IFERROR($F2-$G2,""))</f>
      </c>
      <c r="I2" s="4">
        <f>IF($A2="","",IFERROR($H2/$G2,""))</f>
      </c>
      <c r="J2" s="4">
        <f>IF($A2="","",IFERROR($F2/$F$28,""))</f>
      </c>
    </row>
    <row r="3">
      <c r="A3">
        <f>IFERROR(INDEX(SORT(UNIQUE(FILTER(Operaciones!$B$2:$B$151,Operaciones!$B$2:$B$151&lt;&gt;""))),2),"")</f>
      </c>
      <c r="B3" s="6">
        <f>IF($A3="","",SUMIFS(Operaciones!$D$2:$D$151,Operaciones!$B$2:$B$151,$A3,Operaciones!$C$2:$C$151,"Compra")-SUMIFS(Operaciones!$D$2:$D$151,Operaciones!$B$2:$B$151,$A3,Operaciones!$C$2:$C$151,"Venta"))</f>
      </c>
      <c r="C3" s="3">
        <f>IF($A3="","",IFERROR(GOOGLEFINANCE($A3,"price"),"sin dato"))</f>
      </c>
      <c r="D3">
        <f>IF($A3="","",IFERROR(GOOGLEFINANCE($A3,"currency"),""))</f>
      </c>
      <c r="E3" s="3">
        <f>IF($A3="","",IFERROR($B3*$C3,""))</f>
      </c>
      <c r="F3" s="3">
        <f>IF($A3="","",IFERROR(IF($D3="EUR",$E3,$E3*GOOGLEFINANCE("CURRENCY:"&amp;$D3&amp;"EUR")),""))</f>
      </c>
      <c r="G3" s="3">
        <f>IF($A3="","",SUMIFS(Operaciones!$G$2:$G$151,Operaciones!$B$2:$B$151,$A3,Operaciones!$C$2:$C$151,"Compra")-SUMIFS(Operaciones!$G$2:$G$151,Operaciones!$B$2:$B$151,$A3,Operaciones!$C$2:$C$151,"Venta"))</f>
      </c>
      <c r="H3" s="3">
        <f>IF($A3="","",IFERROR($F3-$G3,""))</f>
      </c>
      <c r="I3" s="4">
        <f>IF($A3="","",IFERROR($H3/$G3,""))</f>
      </c>
      <c r="J3" s="4">
        <f>IF($A3="","",IFERROR($F3/$F$28,""))</f>
      </c>
    </row>
    <row r="4">
      <c r="A4">
        <f>IFERROR(INDEX(SORT(UNIQUE(FILTER(Operaciones!$B$2:$B$151,Operaciones!$B$2:$B$151&lt;&gt;""))),3),"")</f>
      </c>
      <c r="B4" s="6">
        <f>IF($A4="","",SUMIFS(Operaciones!$D$2:$D$151,Operaciones!$B$2:$B$151,$A4,Operaciones!$C$2:$C$151,"Compra")-SUMIFS(Operaciones!$D$2:$D$151,Operaciones!$B$2:$B$151,$A4,Operaciones!$C$2:$C$151,"Venta"))</f>
      </c>
      <c r="C4" s="3">
        <f>IF($A4="","",IFERROR(GOOGLEFINANCE($A4,"price"),"sin dato"))</f>
      </c>
      <c r="D4">
        <f>IF($A4="","",IFERROR(GOOGLEFINANCE($A4,"currency"),""))</f>
      </c>
      <c r="E4" s="3">
        <f>IF($A4="","",IFERROR($B4*$C4,""))</f>
      </c>
      <c r="F4" s="3">
        <f>IF($A4="","",IFERROR(IF($D4="EUR",$E4,$E4*GOOGLEFINANCE("CURRENCY:"&amp;$D4&amp;"EUR")),""))</f>
      </c>
      <c r="G4" s="3">
        <f>IF($A4="","",SUMIFS(Operaciones!$G$2:$G$151,Operaciones!$B$2:$B$151,$A4,Operaciones!$C$2:$C$151,"Compra")-SUMIFS(Operaciones!$G$2:$G$151,Operaciones!$B$2:$B$151,$A4,Operaciones!$C$2:$C$151,"Venta"))</f>
      </c>
      <c r="H4" s="3">
        <f>IF($A4="","",IFERROR($F4-$G4,""))</f>
      </c>
      <c r="I4" s="4">
        <f>IF($A4="","",IFERROR($H4/$G4,""))</f>
      </c>
      <c r="J4" s="4">
        <f>IF($A4="","",IFERROR($F4/$F$28,""))</f>
      </c>
    </row>
    <row r="5">
      <c r="A5">
        <f>IFERROR(INDEX(SORT(UNIQUE(FILTER(Operaciones!$B$2:$B$151,Operaciones!$B$2:$B$151&lt;&gt;""))),4),"")</f>
      </c>
      <c r="B5" s="6">
        <f>IF($A5="","",SUMIFS(Operaciones!$D$2:$D$151,Operaciones!$B$2:$B$151,$A5,Operaciones!$C$2:$C$151,"Compra")-SUMIFS(Operaciones!$D$2:$D$151,Operaciones!$B$2:$B$151,$A5,Operaciones!$C$2:$C$151,"Venta"))</f>
      </c>
      <c r="C5" s="3">
        <f>IF($A5="","",IFERROR(GOOGLEFINANCE($A5,"price"),"sin dato"))</f>
      </c>
      <c r="D5">
        <f>IF($A5="","",IFERROR(GOOGLEFINANCE($A5,"currency"),""))</f>
      </c>
      <c r="E5" s="3">
        <f>IF($A5="","",IFERROR($B5*$C5,""))</f>
      </c>
      <c r="F5" s="3">
        <f>IF($A5="","",IFERROR(IF($D5="EUR",$E5,$E5*GOOGLEFINANCE("CURRENCY:"&amp;$D5&amp;"EUR")),""))</f>
      </c>
      <c r="G5" s="3">
        <f>IF($A5="","",SUMIFS(Operaciones!$G$2:$G$151,Operaciones!$B$2:$B$151,$A5,Operaciones!$C$2:$C$151,"Compra")-SUMIFS(Operaciones!$G$2:$G$151,Operaciones!$B$2:$B$151,$A5,Operaciones!$C$2:$C$151,"Venta"))</f>
      </c>
      <c r="H5" s="3">
        <f>IF($A5="","",IFERROR($F5-$G5,""))</f>
      </c>
      <c r="I5" s="4">
        <f>IF($A5="","",IFERROR($H5/$G5,""))</f>
      </c>
      <c r="J5" s="4">
        <f>IF($A5="","",IFERROR($F5/$F$28,""))</f>
      </c>
    </row>
    <row r="6">
      <c r="A6">
        <f>IFERROR(INDEX(SORT(UNIQUE(FILTER(Operaciones!$B$2:$B$151,Operaciones!$B$2:$B$151&lt;&gt;""))),5),"")</f>
      </c>
      <c r="B6" s="6">
        <f>IF($A6="","",SUMIFS(Operaciones!$D$2:$D$151,Operaciones!$B$2:$B$151,$A6,Operaciones!$C$2:$C$151,"Compra")-SUMIFS(Operaciones!$D$2:$D$151,Operaciones!$B$2:$B$151,$A6,Operaciones!$C$2:$C$151,"Venta"))</f>
      </c>
      <c r="C6" s="3">
        <f>IF($A6="","",IFERROR(GOOGLEFINANCE($A6,"price"),"sin dato"))</f>
      </c>
      <c r="D6">
        <f>IF($A6="","",IFERROR(GOOGLEFINANCE($A6,"currency"),""))</f>
      </c>
      <c r="E6" s="3">
        <f>IF($A6="","",IFERROR($B6*$C6,""))</f>
      </c>
      <c r="F6" s="3">
        <f>IF($A6="","",IFERROR(IF($D6="EUR",$E6,$E6*GOOGLEFINANCE("CURRENCY:"&amp;$D6&amp;"EUR")),""))</f>
      </c>
      <c r="G6" s="3">
        <f>IF($A6="","",SUMIFS(Operaciones!$G$2:$G$151,Operaciones!$B$2:$B$151,$A6,Operaciones!$C$2:$C$151,"Compra")-SUMIFS(Operaciones!$G$2:$G$151,Operaciones!$B$2:$B$151,$A6,Operaciones!$C$2:$C$151,"Venta"))</f>
      </c>
      <c r="H6" s="3">
        <f>IF($A6="","",IFERROR($F6-$G6,""))</f>
      </c>
      <c r="I6" s="4">
        <f>IF($A6="","",IFERROR($H6/$G6,""))</f>
      </c>
      <c r="J6" s="4">
        <f>IF($A6="","",IFERROR($F6/$F$28,""))</f>
      </c>
    </row>
    <row r="7">
      <c r="A7">
        <f>IFERROR(INDEX(SORT(UNIQUE(FILTER(Operaciones!$B$2:$B$151,Operaciones!$B$2:$B$151&lt;&gt;""))),6),"")</f>
      </c>
      <c r="B7" s="6">
        <f>IF($A7="","",SUMIFS(Operaciones!$D$2:$D$151,Operaciones!$B$2:$B$151,$A7,Operaciones!$C$2:$C$151,"Compra")-SUMIFS(Operaciones!$D$2:$D$151,Operaciones!$B$2:$B$151,$A7,Operaciones!$C$2:$C$151,"Venta"))</f>
      </c>
      <c r="C7" s="3">
        <f>IF($A7="","",IFERROR(GOOGLEFINANCE($A7,"price"),"sin dato"))</f>
      </c>
      <c r="D7">
        <f>IF($A7="","",IFERROR(GOOGLEFINANCE($A7,"currency"),""))</f>
      </c>
      <c r="E7" s="3">
        <f>IF($A7="","",IFERROR($B7*$C7,""))</f>
      </c>
      <c r="F7" s="3">
        <f>IF($A7="","",IFERROR(IF($D7="EUR",$E7,$E7*GOOGLEFINANCE("CURRENCY:"&amp;$D7&amp;"EUR")),""))</f>
      </c>
      <c r="G7" s="3">
        <f>IF($A7="","",SUMIFS(Operaciones!$G$2:$G$151,Operaciones!$B$2:$B$151,$A7,Operaciones!$C$2:$C$151,"Compra")-SUMIFS(Operaciones!$G$2:$G$151,Operaciones!$B$2:$B$151,$A7,Operaciones!$C$2:$C$151,"Venta"))</f>
      </c>
      <c r="H7" s="3">
        <f>IF($A7="","",IFERROR($F7-$G7,""))</f>
      </c>
      <c r="I7" s="4">
        <f>IF($A7="","",IFERROR($H7/$G7,""))</f>
      </c>
      <c r="J7" s="4">
        <f>IF($A7="","",IFERROR($F7/$F$28,""))</f>
      </c>
    </row>
    <row r="8">
      <c r="A8">
        <f>IFERROR(INDEX(SORT(UNIQUE(FILTER(Operaciones!$B$2:$B$151,Operaciones!$B$2:$B$151&lt;&gt;""))),7),"")</f>
      </c>
      <c r="B8" s="6">
        <f>IF($A8="","",SUMIFS(Operaciones!$D$2:$D$151,Operaciones!$B$2:$B$151,$A8,Operaciones!$C$2:$C$151,"Compra")-SUMIFS(Operaciones!$D$2:$D$151,Operaciones!$B$2:$B$151,$A8,Operaciones!$C$2:$C$151,"Venta"))</f>
      </c>
      <c r="C8" s="3">
        <f>IF($A8="","",IFERROR(GOOGLEFINANCE($A8,"price"),"sin dato"))</f>
      </c>
      <c r="D8">
        <f>IF($A8="","",IFERROR(GOOGLEFINANCE($A8,"currency"),""))</f>
      </c>
      <c r="E8" s="3">
        <f>IF($A8="","",IFERROR($B8*$C8,""))</f>
      </c>
      <c r="F8" s="3">
        <f>IF($A8="","",IFERROR(IF($D8="EUR",$E8,$E8*GOOGLEFINANCE("CURRENCY:"&amp;$D8&amp;"EUR")),""))</f>
      </c>
      <c r="G8" s="3">
        <f>IF($A8="","",SUMIFS(Operaciones!$G$2:$G$151,Operaciones!$B$2:$B$151,$A8,Operaciones!$C$2:$C$151,"Compra")-SUMIFS(Operaciones!$G$2:$G$151,Operaciones!$B$2:$B$151,$A8,Operaciones!$C$2:$C$151,"Venta"))</f>
      </c>
      <c r="H8" s="3">
        <f>IF($A8="","",IFERROR($F8-$G8,""))</f>
      </c>
      <c r="I8" s="4">
        <f>IF($A8="","",IFERROR($H8/$G8,""))</f>
      </c>
      <c r="J8" s="4">
        <f>IF($A8="","",IFERROR($F8/$F$28,""))</f>
      </c>
    </row>
    <row r="9">
      <c r="A9">
        <f>IFERROR(INDEX(SORT(UNIQUE(FILTER(Operaciones!$B$2:$B$151,Operaciones!$B$2:$B$151&lt;&gt;""))),8),"")</f>
      </c>
      <c r="B9" s="6">
        <f>IF($A9="","",SUMIFS(Operaciones!$D$2:$D$151,Operaciones!$B$2:$B$151,$A9,Operaciones!$C$2:$C$151,"Compra")-SUMIFS(Operaciones!$D$2:$D$151,Operaciones!$B$2:$B$151,$A9,Operaciones!$C$2:$C$151,"Venta"))</f>
      </c>
      <c r="C9" s="3">
        <f>IF($A9="","",IFERROR(GOOGLEFINANCE($A9,"price"),"sin dato"))</f>
      </c>
      <c r="D9">
        <f>IF($A9="","",IFERROR(GOOGLEFINANCE($A9,"currency"),""))</f>
      </c>
      <c r="E9" s="3">
        <f>IF($A9="","",IFERROR($B9*$C9,""))</f>
      </c>
      <c r="F9" s="3">
        <f>IF($A9="","",IFERROR(IF($D9="EUR",$E9,$E9*GOOGLEFINANCE("CURRENCY:"&amp;$D9&amp;"EUR")),""))</f>
      </c>
      <c r="G9" s="3">
        <f>IF($A9="","",SUMIFS(Operaciones!$G$2:$G$151,Operaciones!$B$2:$B$151,$A9,Operaciones!$C$2:$C$151,"Compra")-SUMIFS(Operaciones!$G$2:$G$151,Operaciones!$B$2:$B$151,$A9,Operaciones!$C$2:$C$151,"Venta"))</f>
      </c>
      <c r="H9" s="3">
        <f>IF($A9="","",IFERROR($F9-$G9,""))</f>
      </c>
      <c r="I9" s="4">
        <f>IF($A9="","",IFERROR($H9/$G9,""))</f>
      </c>
      <c r="J9" s="4">
        <f>IF($A9="","",IFERROR($F9/$F$28,""))</f>
      </c>
    </row>
    <row r="10">
      <c r="A10">
        <f>IFERROR(INDEX(SORT(UNIQUE(FILTER(Operaciones!$B$2:$B$151,Operaciones!$B$2:$B$151&lt;&gt;""))),9),"")</f>
      </c>
      <c r="B10" s="6">
        <f>IF($A10="","",SUMIFS(Operaciones!$D$2:$D$151,Operaciones!$B$2:$B$151,$A10,Operaciones!$C$2:$C$151,"Compra")-SUMIFS(Operaciones!$D$2:$D$151,Operaciones!$B$2:$B$151,$A10,Operaciones!$C$2:$C$151,"Venta"))</f>
      </c>
      <c r="C10" s="3">
        <f>IF($A10="","",IFERROR(GOOGLEFINANCE($A10,"price"),"sin dato"))</f>
      </c>
      <c r="D10">
        <f>IF($A10="","",IFERROR(GOOGLEFINANCE($A10,"currency"),""))</f>
      </c>
      <c r="E10" s="3">
        <f>IF($A10="","",IFERROR($B10*$C10,""))</f>
      </c>
      <c r="F10" s="3">
        <f>IF($A10="","",IFERROR(IF($D10="EUR",$E10,$E10*GOOGLEFINANCE("CURRENCY:"&amp;$D10&amp;"EUR")),""))</f>
      </c>
      <c r="G10" s="3">
        <f>IF($A10="","",SUMIFS(Operaciones!$G$2:$G$151,Operaciones!$B$2:$B$151,$A10,Operaciones!$C$2:$C$151,"Compra")-SUMIFS(Operaciones!$G$2:$G$151,Operaciones!$B$2:$B$151,$A10,Operaciones!$C$2:$C$151,"Venta"))</f>
      </c>
      <c r="H10" s="3">
        <f>IF($A10="","",IFERROR($F10-$G10,""))</f>
      </c>
      <c r="I10" s="4">
        <f>IF($A10="","",IFERROR($H10/$G10,""))</f>
      </c>
      <c r="J10" s="4">
        <f>IF($A10="","",IFERROR($F10/$F$28,""))</f>
      </c>
    </row>
    <row r="11">
      <c r="A11">
        <f>IFERROR(INDEX(SORT(UNIQUE(FILTER(Operaciones!$B$2:$B$151,Operaciones!$B$2:$B$151&lt;&gt;""))),10),"")</f>
      </c>
      <c r="B11" s="6">
        <f>IF($A11="","",SUMIFS(Operaciones!$D$2:$D$151,Operaciones!$B$2:$B$151,$A11,Operaciones!$C$2:$C$151,"Compra")-SUMIFS(Operaciones!$D$2:$D$151,Operaciones!$B$2:$B$151,$A11,Operaciones!$C$2:$C$151,"Venta"))</f>
      </c>
      <c r="C11" s="3">
        <f>IF($A11="","",IFERROR(GOOGLEFINANCE($A11,"price"),"sin dato"))</f>
      </c>
      <c r="D11">
        <f>IF($A11="","",IFERROR(GOOGLEFINANCE($A11,"currency"),""))</f>
      </c>
      <c r="E11" s="3">
        <f>IF($A11="","",IFERROR($B11*$C11,""))</f>
      </c>
      <c r="F11" s="3">
        <f>IF($A11="","",IFERROR(IF($D11="EUR",$E11,$E11*GOOGLEFINANCE("CURRENCY:"&amp;$D11&amp;"EUR")),""))</f>
      </c>
      <c r="G11" s="3">
        <f>IF($A11="","",SUMIFS(Operaciones!$G$2:$G$151,Operaciones!$B$2:$B$151,$A11,Operaciones!$C$2:$C$151,"Compra")-SUMIFS(Operaciones!$G$2:$G$151,Operaciones!$B$2:$B$151,$A11,Operaciones!$C$2:$C$151,"Venta"))</f>
      </c>
      <c r="H11" s="3">
        <f>IF($A11="","",IFERROR($F11-$G11,""))</f>
      </c>
      <c r="I11" s="4">
        <f>IF($A11="","",IFERROR($H11/$G11,""))</f>
      </c>
      <c r="J11" s="4">
        <f>IF($A11="","",IFERROR($F11/$F$28,""))</f>
      </c>
    </row>
    <row r="12">
      <c r="A12">
        <f>IFERROR(INDEX(SORT(UNIQUE(FILTER(Operaciones!$B$2:$B$151,Operaciones!$B$2:$B$151&lt;&gt;""))),11),"")</f>
      </c>
      <c r="B12" s="6">
        <f>IF($A12="","",SUMIFS(Operaciones!$D$2:$D$151,Operaciones!$B$2:$B$151,$A12,Operaciones!$C$2:$C$151,"Compra")-SUMIFS(Operaciones!$D$2:$D$151,Operaciones!$B$2:$B$151,$A12,Operaciones!$C$2:$C$151,"Venta"))</f>
      </c>
      <c r="C12" s="3">
        <f>IF($A12="","",IFERROR(GOOGLEFINANCE($A12,"price"),"sin dato"))</f>
      </c>
      <c r="D12">
        <f>IF($A12="","",IFERROR(GOOGLEFINANCE($A12,"currency"),""))</f>
      </c>
      <c r="E12" s="3">
        <f>IF($A12="","",IFERROR($B12*$C12,""))</f>
      </c>
      <c r="F12" s="3">
        <f>IF($A12="","",IFERROR(IF($D12="EUR",$E12,$E12*GOOGLEFINANCE("CURRENCY:"&amp;$D12&amp;"EUR")),""))</f>
      </c>
      <c r="G12" s="3">
        <f>IF($A12="","",SUMIFS(Operaciones!$G$2:$G$151,Operaciones!$B$2:$B$151,$A12,Operaciones!$C$2:$C$151,"Compra")-SUMIFS(Operaciones!$G$2:$G$151,Operaciones!$B$2:$B$151,$A12,Operaciones!$C$2:$C$151,"Venta"))</f>
      </c>
      <c r="H12" s="3">
        <f>IF($A12="","",IFERROR($F12-$G12,""))</f>
      </c>
      <c r="I12" s="4">
        <f>IF($A12="","",IFERROR($H12/$G12,""))</f>
      </c>
      <c r="J12" s="4">
        <f>IF($A12="","",IFERROR($F12/$F$28,""))</f>
      </c>
    </row>
    <row r="13">
      <c r="A13">
        <f>IFERROR(INDEX(SORT(UNIQUE(FILTER(Operaciones!$B$2:$B$151,Operaciones!$B$2:$B$151&lt;&gt;""))),12),"")</f>
      </c>
      <c r="B13" s="6">
        <f>IF($A13="","",SUMIFS(Operaciones!$D$2:$D$151,Operaciones!$B$2:$B$151,$A13,Operaciones!$C$2:$C$151,"Compra")-SUMIFS(Operaciones!$D$2:$D$151,Operaciones!$B$2:$B$151,$A13,Operaciones!$C$2:$C$151,"Venta"))</f>
      </c>
      <c r="C13" s="3">
        <f>IF($A13="","",IFERROR(GOOGLEFINANCE($A13,"price"),"sin dato"))</f>
      </c>
      <c r="D13">
        <f>IF($A13="","",IFERROR(GOOGLEFINANCE($A13,"currency"),""))</f>
      </c>
      <c r="E13" s="3">
        <f>IF($A13="","",IFERROR($B13*$C13,""))</f>
      </c>
      <c r="F13" s="3">
        <f>IF($A13="","",IFERROR(IF($D13="EUR",$E13,$E13*GOOGLEFINANCE("CURRENCY:"&amp;$D13&amp;"EUR")),""))</f>
      </c>
      <c r="G13" s="3">
        <f>IF($A13="","",SUMIFS(Operaciones!$G$2:$G$151,Operaciones!$B$2:$B$151,$A13,Operaciones!$C$2:$C$151,"Compra")-SUMIFS(Operaciones!$G$2:$G$151,Operaciones!$B$2:$B$151,$A13,Operaciones!$C$2:$C$151,"Venta"))</f>
      </c>
      <c r="H13" s="3">
        <f>IF($A13="","",IFERROR($F13-$G13,""))</f>
      </c>
      <c r="I13" s="4">
        <f>IF($A13="","",IFERROR($H13/$G13,""))</f>
      </c>
      <c r="J13" s="4">
        <f>IF($A13="","",IFERROR($F13/$F$28,""))</f>
      </c>
    </row>
    <row r="14">
      <c r="A14">
        <f>IFERROR(INDEX(SORT(UNIQUE(FILTER(Operaciones!$B$2:$B$151,Operaciones!$B$2:$B$151&lt;&gt;""))),13),"")</f>
      </c>
      <c r="B14" s="6">
        <f>IF($A14="","",SUMIFS(Operaciones!$D$2:$D$151,Operaciones!$B$2:$B$151,$A14,Operaciones!$C$2:$C$151,"Compra")-SUMIFS(Operaciones!$D$2:$D$151,Operaciones!$B$2:$B$151,$A14,Operaciones!$C$2:$C$151,"Venta"))</f>
      </c>
      <c r="C14" s="3">
        <f>IF($A14="","",IFERROR(GOOGLEFINANCE($A14,"price"),"sin dato"))</f>
      </c>
      <c r="D14">
        <f>IF($A14="","",IFERROR(GOOGLEFINANCE($A14,"currency"),""))</f>
      </c>
      <c r="E14" s="3">
        <f>IF($A14="","",IFERROR($B14*$C14,""))</f>
      </c>
      <c r="F14" s="3">
        <f>IF($A14="","",IFERROR(IF($D14="EUR",$E14,$E14*GOOGLEFINANCE("CURRENCY:"&amp;$D14&amp;"EUR")),""))</f>
      </c>
      <c r="G14" s="3">
        <f>IF($A14="","",SUMIFS(Operaciones!$G$2:$G$151,Operaciones!$B$2:$B$151,$A14,Operaciones!$C$2:$C$151,"Compra")-SUMIFS(Operaciones!$G$2:$G$151,Operaciones!$B$2:$B$151,$A14,Operaciones!$C$2:$C$151,"Venta"))</f>
      </c>
      <c r="H14" s="3">
        <f>IF($A14="","",IFERROR($F14-$G14,""))</f>
      </c>
      <c r="I14" s="4">
        <f>IF($A14="","",IFERROR($H14/$G14,""))</f>
      </c>
      <c r="J14" s="4">
        <f>IF($A14="","",IFERROR($F14/$F$28,""))</f>
      </c>
    </row>
    <row r="15">
      <c r="A15">
        <f>IFERROR(INDEX(SORT(UNIQUE(FILTER(Operaciones!$B$2:$B$151,Operaciones!$B$2:$B$151&lt;&gt;""))),14),"")</f>
      </c>
      <c r="B15" s="6">
        <f>IF($A15="","",SUMIFS(Operaciones!$D$2:$D$151,Operaciones!$B$2:$B$151,$A15,Operaciones!$C$2:$C$151,"Compra")-SUMIFS(Operaciones!$D$2:$D$151,Operaciones!$B$2:$B$151,$A15,Operaciones!$C$2:$C$151,"Venta"))</f>
      </c>
      <c r="C15" s="3">
        <f>IF($A15="","",IFERROR(GOOGLEFINANCE($A15,"price"),"sin dato"))</f>
      </c>
      <c r="D15">
        <f>IF($A15="","",IFERROR(GOOGLEFINANCE($A15,"currency"),""))</f>
      </c>
      <c r="E15" s="3">
        <f>IF($A15="","",IFERROR($B15*$C15,""))</f>
      </c>
      <c r="F15" s="3">
        <f>IF($A15="","",IFERROR(IF($D15="EUR",$E15,$E15*GOOGLEFINANCE("CURRENCY:"&amp;$D15&amp;"EUR")),""))</f>
      </c>
      <c r="G15" s="3">
        <f>IF($A15="","",SUMIFS(Operaciones!$G$2:$G$151,Operaciones!$B$2:$B$151,$A15,Operaciones!$C$2:$C$151,"Compra")-SUMIFS(Operaciones!$G$2:$G$151,Operaciones!$B$2:$B$151,$A15,Operaciones!$C$2:$C$151,"Venta"))</f>
      </c>
      <c r="H15" s="3">
        <f>IF($A15="","",IFERROR($F15-$G15,""))</f>
      </c>
      <c r="I15" s="4">
        <f>IF($A15="","",IFERROR($H15/$G15,""))</f>
      </c>
      <c r="J15" s="4">
        <f>IF($A15="","",IFERROR($F15/$F$28,""))</f>
      </c>
    </row>
    <row r="16">
      <c r="A16">
        <f>IFERROR(INDEX(SORT(UNIQUE(FILTER(Operaciones!$B$2:$B$151,Operaciones!$B$2:$B$151&lt;&gt;""))),15),"")</f>
      </c>
      <c r="B16" s="6">
        <f>IF($A16="","",SUMIFS(Operaciones!$D$2:$D$151,Operaciones!$B$2:$B$151,$A16,Operaciones!$C$2:$C$151,"Compra")-SUMIFS(Operaciones!$D$2:$D$151,Operaciones!$B$2:$B$151,$A16,Operaciones!$C$2:$C$151,"Venta"))</f>
      </c>
      <c r="C16" s="3">
        <f>IF($A16="","",IFERROR(GOOGLEFINANCE($A16,"price"),"sin dato"))</f>
      </c>
      <c r="D16">
        <f>IF($A16="","",IFERROR(GOOGLEFINANCE($A16,"currency"),""))</f>
      </c>
      <c r="E16" s="3">
        <f>IF($A16="","",IFERROR($B16*$C16,""))</f>
      </c>
      <c r="F16" s="3">
        <f>IF($A16="","",IFERROR(IF($D16="EUR",$E16,$E16*GOOGLEFINANCE("CURRENCY:"&amp;$D16&amp;"EUR")),""))</f>
      </c>
      <c r="G16" s="3">
        <f>IF($A16="","",SUMIFS(Operaciones!$G$2:$G$151,Operaciones!$B$2:$B$151,$A16,Operaciones!$C$2:$C$151,"Compra")-SUMIFS(Operaciones!$G$2:$G$151,Operaciones!$B$2:$B$151,$A16,Operaciones!$C$2:$C$151,"Venta"))</f>
      </c>
      <c r="H16" s="3">
        <f>IF($A16="","",IFERROR($F16-$G16,""))</f>
      </c>
      <c r="I16" s="4">
        <f>IF($A16="","",IFERROR($H16/$G16,""))</f>
      </c>
      <c r="J16" s="4">
        <f>IF($A16="","",IFERROR($F16/$F$28,""))</f>
      </c>
    </row>
    <row r="17">
      <c r="A17">
        <f>IFERROR(INDEX(SORT(UNIQUE(FILTER(Operaciones!$B$2:$B$151,Operaciones!$B$2:$B$151&lt;&gt;""))),16),"")</f>
      </c>
      <c r="B17" s="6">
        <f>IF($A17="","",SUMIFS(Operaciones!$D$2:$D$151,Operaciones!$B$2:$B$151,$A17,Operaciones!$C$2:$C$151,"Compra")-SUMIFS(Operaciones!$D$2:$D$151,Operaciones!$B$2:$B$151,$A17,Operaciones!$C$2:$C$151,"Venta"))</f>
      </c>
      <c r="C17" s="3">
        <f>IF($A17="","",IFERROR(GOOGLEFINANCE($A17,"price"),"sin dato"))</f>
      </c>
      <c r="D17">
        <f>IF($A17="","",IFERROR(GOOGLEFINANCE($A17,"currency"),""))</f>
      </c>
      <c r="E17" s="3">
        <f>IF($A17="","",IFERROR($B17*$C17,""))</f>
      </c>
      <c r="F17" s="3">
        <f>IF($A17="","",IFERROR(IF($D17="EUR",$E17,$E17*GOOGLEFINANCE("CURRENCY:"&amp;$D17&amp;"EUR")),""))</f>
      </c>
      <c r="G17" s="3">
        <f>IF($A17="","",SUMIFS(Operaciones!$G$2:$G$151,Operaciones!$B$2:$B$151,$A17,Operaciones!$C$2:$C$151,"Compra")-SUMIFS(Operaciones!$G$2:$G$151,Operaciones!$B$2:$B$151,$A17,Operaciones!$C$2:$C$151,"Venta"))</f>
      </c>
      <c r="H17" s="3">
        <f>IF($A17="","",IFERROR($F17-$G17,""))</f>
      </c>
      <c r="I17" s="4">
        <f>IF($A17="","",IFERROR($H17/$G17,""))</f>
      </c>
      <c r="J17" s="4">
        <f>IF($A17="","",IFERROR($F17/$F$28,""))</f>
      </c>
    </row>
    <row r="18">
      <c r="A18">
        <f>IFERROR(INDEX(SORT(UNIQUE(FILTER(Operaciones!$B$2:$B$151,Operaciones!$B$2:$B$151&lt;&gt;""))),17),"")</f>
      </c>
      <c r="B18" s="6">
        <f>IF($A18="","",SUMIFS(Operaciones!$D$2:$D$151,Operaciones!$B$2:$B$151,$A18,Operaciones!$C$2:$C$151,"Compra")-SUMIFS(Operaciones!$D$2:$D$151,Operaciones!$B$2:$B$151,$A18,Operaciones!$C$2:$C$151,"Venta"))</f>
      </c>
      <c r="C18" s="3">
        <f>IF($A18="","",IFERROR(GOOGLEFINANCE($A18,"price"),"sin dato"))</f>
      </c>
      <c r="D18">
        <f>IF($A18="","",IFERROR(GOOGLEFINANCE($A18,"currency"),""))</f>
      </c>
      <c r="E18" s="3">
        <f>IF($A18="","",IFERROR($B18*$C18,""))</f>
      </c>
      <c r="F18" s="3">
        <f>IF($A18="","",IFERROR(IF($D18="EUR",$E18,$E18*GOOGLEFINANCE("CURRENCY:"&amp;$D18&amp;"EUR")),""))</f>
      </c>
      <c r="G18" s="3">
        <f>IF($A18="","",SUMIFS(Operaciones!$G$2:$G$151,Operaciones!$B$2:$B$151,$A18,Operaciones!$C$2:$C$151,"Compra")-SUMIFS(Operaciones!$G$2:$G$151,Operaciones!$B$2:$B$151,$A18,Operaciones!$C$2:$C$151,"Venta"))</f>
      </c>
      <c r="H18" s="3">
        <f>IF($A18="","",IFERROR($F18-$G18,""))</f>
      </c>
      <c r="I18" s="4">
        <f>IF($A18="","",IFERROR($H18/$G18,""))</f>
      </c>
      <c r="J18" s="4">
        <f>IF($A18="","",IFERROR($F18/$F$28,""))</f>
      </c>
    </row>
    <row r="19">
      <c r="A19">
        <f>IFERROR(INDEX(SORT(UNIQUE(FILTER(Operaciones!$B$2:$B$151,Operaciones!$B$2:$B$151&lt;&gt;""))),18),"")</f>
      </c>
      <c r="B19" s="6">
        <f>IF($A19="","",SUMIFS(Operaciones!$D$2:$D$151,Operaciones!$B$2:$B$151,$A19,Operaciones!$C$2:$C$151,"Compra")-SUMIFS(Operaciones!$D$2:$D$151,Operaciones!$B$2:$B$151,$A19,Operaciones!$C$2:$C$151,"Venta"))</f>
      </c>
      <c r="C19" s="3">
        <f>IF($A19="","",IFERROR(GOOGLEFINANCE($A19,"price"),"sin dato"))</f>
      </c>
      <c r="D19">
        <f>IF($A19="","",IFERROR(GOOGLEFINANCE($A19,"currency"),""))</f>
      </c>
      <c r="E19" s="3">
        <f>IF($A19="","",IFERROR($B19*$C19,""))</f>
      </c>
      <c r="F19" s="3">
        <f>IF($A19="","",IFERROR(IF($D19="EUR",$E19,$E19*GOOGLEFINANCE("CURRENCY:"&amp;$D19&amp;"EUR")),""))</f>
      </c>
      <c r="G19" s="3">
        <f>IF($A19="","",SUMIFS(Operaciones!$G$2:$G$151,Operaciones!$B$2:$B$151,$A19,Operaciones!$C$2:$C$151,"Compra")-SUMIFS(Operaciones!$G$2:$G$151,Operaciones!$B$2:$B$151,$A19,Operaciones!$C$2:$C$151,"Venta"))</f>
      </c>
      <c r="H19" s="3">
        <f>IF($A19="","",IFERROR($F19-$G19,""))</f>
      </c>
      <c r="I19" s="4">
        <f>IF($A19="","",IFERROR($H19/$G19,""))</f>
      </c>
      <c r="J19" s="4">
        <f>IF($A19="","",IFERROR($F19/$F$28,""))</f>
      </c>
    </row>
    <row r="20">
      <c r="A20">
        <f>IFERROR(INDEX(SORT(UNIQUE(FILTER(Operaciones!$B$2:$B$151,Operaciones!$B$2:$B$151&lt;&gt;""))),19),"")</f>
      </c>
      <c r="B20" s="6">
        <f>IF($A20="","",SUMIFS(Operaciones!$D$2:$D$151,Operaciones!$B$2:$B$151,$A20,Operaciones!$C$2:$C$151,"Compra")-SUMIFS(Operaciones!$D$2:$D$151,Operaciones!$B$2:$B$151,$A20,Operaciones!$C$2:$C$151,"Venta"))</f>
      </c>
      <c r="C20" s="3">
        <f>IF($A20="","",IFERROR(GOOGLEFINANCE($A20,"price"),"sin dato"))</f>
      </c>
      <c r="D20">
        <f>IF($A20="","",IFERROR(GOOGLEFINANCE($A20,"currency"),""))</f>
      </c>
      <c r="E20" s="3">
        <f>IF($A20="","",IFERROR($B20*$C20,""))</f>
      </c>
      <c r="F20" s="3">
        <f>IF($A20="","",IFERROR(IF($D20="EUR",$E20,$E20*GOOGLEFINANCE("CURRENCY:"&amp;$D20&amp;"EUR")),""))</f>
      </c>
      <c r="G20" s="3">
        <f>IF($A20="","",SUMIFS(Operaciones!$G$2:$G$151,Operaciones!$B$2:$B$151,$A20,Operaciones!$C$2:$C$151,"Compra")-SUMIFS(Operaciones!$G$2:$G$151,Operaciones!$B$2:$B$151,$A20,Operaciones!$C$2:$C$151,"Venta"))</f>
      </c>
      <c r="H20" s="3">
        <f>IF($A20="","",IFERROR($F20-$G20,""))</f>
      </c>
      <c r="I20" s="4">
        <f>IF($A20="","",IFERROR($H20/$G20,""))</f>
      </c>
      <c r="J20" s="4">
        <f>IF($A20="","",IFERROR($F20/$F$28,""))</f>
      </c>
    </row>
    <row r="21">
      <c r="A21">
        <f>IFERROR(INDEX(SORT(UNIQUE(FILTER(Operaciones!$B$2:$B$151,Operaciones!$B$2:$B$151&lt;&gt;""))),20),"")</f>
      </c>
      <c r="B21" s="6">
        <f>IF($A21="","",SUMIFS(Operaciones!$D$2:$D$151,Operaciones!$B$2:$B$151,$A21,Operaciones!$C$2:$C$151,"Compra")-SUMIFS(Operaciones!$D$2:$D$151,Operaciones!$B$2:$B$151,$A21,Operaciones!$C$2:$C$151,"Venta"))</f>
      </c>
      <c r="C21" s="3">
        <f>IF($A21="","",IFERROR(GOOGLEFINANCE($A21,"price"),"sin dato"))</f>
      </c>
      <c r="D21">
        <f>IF($A21="","",IFERROR(GOOGLEFINANCE($A21,"currency"),""))</f>
      </c>
      <c r="E21" s="3">
        <f>IF($A21="","",IFERROR($B21*$C21,""))</f>
      </c>
      <c r="F21" s="3">
        <f>IF($A21="","",IFERROR(IF($D21="EUR",$E21,$E21*GOOGLEFINANCE("CURRENCY:"&amp;$D21&amp;"EUR")),""))</f>
      </c>
      <c r="G21" s="3">
        <f>IF($A21="","",SUMIFS(Operaciones!$G$2:$G$151,Operaciones!$B$2:$B$151,$A21,Operaciones!$C$2:$C$151,"Compra")-SUMIFS(Operaciones!$G$2:$G$151,Operaciones!$B$2:$B$151,$A21,Operaciones!$C$2:$C$151,"Venta"))</f>
      </c>
      <c r="H21" s="3">
        <f>IF($A21="","",IFERROR($F21-$G21,""))</f>
      </c>
      <c r="I21" s="4">
        <f>IF($A21="","",IFERROR($H21/$G21,""))</f>
      </c>
      <c r="J21" s="4">
        <f>IF($A21="","",IFERROR($F21/$F$28,""))</f>
      </c>
    </row>
    <row r="22">
      <c r="A22">
        <f>IFERROR(INDEX(SORT(UNIQUE(FILTER(Operaciones!$B$2:$B$151,Operaciones!$B$2:$B$151&lt;&gt;""))),21),"")</f>
      </c>
      <c r="B22" s="6">
        <f>IF($A22="","",SUMIFS(Operaciones!$D$2:$D$151,Operaciones!$B$2:$B$151,$A22,Operaciones!$C$2:$C$151,"Compra")-SUMIFS(Operaciones!$D$2:$D$151,Operaciones!$B$2:$B$151,$A22,Operaciones!$C$2:$C$151,"Venta"))</f>
      </c>
      <c r="C22" s="3">
        <f>IF($A22="","",IFERROR(GOOGLEFINANCE($A22,"price"),"sin dato"))</f>
      </c>
      <c r="D22">
        <f>IF($A22="","",IFERROR(GOOGLEFINANCE($A22,"currency"),""))</f>
      </c>
      <c r="E22" s="3">
        <f>IF($A22="","",IFERROR($B22*$C22,""))</f>
      </c>
      <c r="F22" s="3">
        <f>IF($A22="","",IFERROR(IF($D22="EUR",$E22,$E22*GOOGLEFINANCE("CURRENCY:"&amp;$D22&amp;"EUR")),""))</f>
      </c>
      <c r="G22" s="3">
        <f>IF($A22="","",SUMIFS(Operaciones!$G$2:$G$151,Operaciones!$B$2:$B$151,$A22,Operaciones!$C$2:$C$151,"Compra")-SUMIFS(Operaciones!$G$2:$G$151,Operaciones!$B$2:$B$151,$A22,Operaciones!$C$2:$C$151,"Venta"))</f>
      </c>
      <c r="H22" s="3">
        <f>IF($A22="","",IFERROR($F22-$G22,""))</f>
      </c>
      <c r="I22" s="4">
        <f>IF($A22="","",IFERROR($H22/$G22,""))</f>
      </c>
      <c r="J22" s="4">
        <f>IF($A22="","",IFERROR($F22/$F$28,""))</f>
      </c>
    </row>
    <row r="23">
      <c r="A23">
        <f>IFERROR(INDEX(SORT(UNIQUE(FILTER(Operaciones!$B$2:$B$151,Operaciones!$B$2:$B$151&lt;&gt;""))),22),"")</f>
      </c>
      <c r="B23" s="6">
        <f>IF($A23="","",SUMIFS(Operaciones!$D$2:$D$151,Operaciones!$B$2:$B$151,$A23,Operaciones!$C$2:$C$151,"Compra")-SUMIFS(Operaciones!$D$2:$D$151,Operaciones!$B$2:$B$151,$A23,Operaciones!$C$2:$C$151,"Venta"))</f>
      </c>
      <c r="C23" s="3">
        <f>IF($A23="","",IFERROR(GOOGLEFINANCE($A23,"price"),"sin dato"))</f>
      </c>
      <c r="D23">
        <f>IF($A23="","",IFERROR(GOOGLEFINANCE($A23,"currency"),""))</f>
      </c>
      <c r="E23" s="3">
        <f>IF($A23="","",IFERROR($B23*$C23,""))</f>
      </c>
      <c r="F23" s="3">
        <f>IF($A23="","",IFERROR(IF($D23="EUR",$E23,$E23*GOOGLEFINANCE("CURRENCY:"&amp;$D23&amp;"EUR")),""))</f>
      </c>
      <c r="G23" s="3">
        <f>IF($A23="","",SUMIFS(Operaciones!$G$2:$G$151,Operaciones!$B$2:$B$151,$A23,Operaciones!$C$2:$C$151,"Compra")-SUMIFS(Operaciones!$G$2:$G$151,Operaciones!$B$2:$B$151,$A23,Operaciones!$C$2:$C$151,"Venta"))</f>
      </c>
      <c r="H23" s="3">
        <f>IF($A23="","",IFERROR($F23-$G23,""))</f>
      </c>
      <c r="I23" s="4">
        <f>IF($A23="","",IFERROR($H23/$G23,""))</f>
      </c>
      <c r="J23" s="4">
        <f>IF($A23="","",IFERROR($F23/$F$28,""))</f>
      </c>
    </row>
    <row r="24">
      <c r="A24">
        <f>IFERROR(INDEX(SORT(UNIQUE(FILTER(Operaciones!$B$2:$B$151,Operaciones!$B$2:$B$151&lt;&gt;""))),23),"")</f>
      </c>
      <c r="B24" s="6">
        <f>IF($A24="","",SUMIFS(Operaciones!$D$2:$D$151,Operaciones!$B$2:$B$151,$A24,Operaciones!$C$2:$C$151,"Compra")-SUMIFS(Operaciones!$D$2:$D$151,Operaciones!$B$2:$B$151,$A24,Operaciones!$C$2:$C$151,"Venta"))</f>
      </c>
      <c r="C24" s="3">
        <f>IF($A24="","",IFERROR(GOOGLEFINANCE($A24,"price"),"sin dato"))</f>
      </c>
      <c r="D24">
        <f>IF($A24="","",IFERROR(GOOGLEFINANCE($A24,"currency"),""))</f>
      </c>
      <c r="E24" s="3">
        <f>IF($A24="","",IFERROR($B24*$C24,""))</f>
      </c>
      <c r="F24" s="3">
        <f>IF($A24="","",IFERROR(IF($D24="EUR",$E24,$E24*GOOGLEFINANCE("CURRENCY:"&amp;$D24&amp;"EUR")),""))</f>
      </c>
      <c r="G24" s="3">
        <f>IF($A24="","",SUMIFS(Operaciones!$G$2:$G$151,Operaciones!$B$2:$B$151,$A24,Operaciones!$C$2:$C$151,"Compra")-SUMIFS(Operaciones!$G$2:$G$151,Operaciones!$B$2:$B$151,$A24,Operaciones!$C$2:$C$151,"Venta"))</f>
      </c>
      <c r="H24" s="3">
        <f>IF($A24="","",IFERROR($F24-$G24,""))</f>
      </c>
      <c r="I24" s="4">
        <f>IF($A24="","",IFERROR($H24/$G24,""))</f>
      </c>
      <c r="J24" s="4">
        <f>IF($A24="","",IFERROR($F24/$F$28,""))</f>
      </c>
    </row>
    <row r="25">
      <c r="A25">
        <f>IFERROR(INDEX(SORT(UNIQUE(FILTER(Operaciones!$B$2:$B$151,Operaciones!$B$2:$B$151&lt;&gt;""))),24),"")</f>
      </c>
      <c r="B25" s="6">
        <f>IF($A25="","",SUMIFS(Operaciones!$D$2:$D$151,Operaciones!$B$2:$B$151,$A25,Operaciones!$C$2:$C$151,"Compra")-SUMIFS(Operaciones!$D$2:$D$151,Operaciones!$B$2:$B$151,$A25,Operaciones!$C$2:$C$151,"Venta"))</f>
      </c>
      <c r="C25" s="3">
        <f>IF($A25="","",IFERROR(GOOGLEFINANCE($A25,"price"),"sin dato"))</f>
      </c>
      <c r="D25">
        <f>IF($A25="","",IFERROR(GOOGLEFINANCE($A25,"currency"),""))</f>
      </c>
      <c r="E25" s="3">
        <f>IF($A25="","",IFERROR($B25*$C25,""))</f>
      </c>
      <c r="F25" s="3">
        <f>IF($A25="","",IFERROR(IF($D25="EUR",$E25,$E25*GOOGLEFINANCE("CURRENCY:"&amp;$D25&amp;"EUR")),""))</f>
      </c>
      <c r="G25" s="3">
        <f>IF($A25="","",SUMIFS(Operaciones!$G$2:$G$151,Operaciones!$B$2:$B$151,$A25,Operaciones!$C$2:$C$151,"Compra")-SUMIFS(Operaciones!$G$2:$G$151,Operaciones!$B$2:$B$151,$A25,Operaciones!$C$2:$C$151,"Venta"))</f>
      </c>
      <c r="H25" s="3">
        <f>IF($A25="","",IFERROR($F25-$G25,""))</f>
      </c>
      <c r="I25" s="4">
        <f>IF($A25="","",IFERROR($H25/$G25,""))</f>
      </c>
      <c r="J25" s="4">
        <f>IF($A25="","",IFERROR($F25/$F$28,""))</f>
      </c>
    </row>
    <row r="26">
      <c r="A26">
        <f>IFERROR(INDEX(SORT(UNIQUE(FILTER(Operaciones!$B$2:$B$151,Operaciones!$B$2:$B$151&lt;&gt;""))),25),"")</f>
      </c>
      <c r="B26" s="6">
        <f>IF($A26="","",SUMIFS(Operaciones!$D$2:$D$151,Operaciones!$B$2:$B$151,$A26,Operaciones!$C$2:$C$151,"Compra")-SUMIFS(Operaciones!$D$2:$D$151,Operaciones!$B$2:$B$151,$A26,Operaciones!$C$2:$C$151,"Venta"))</f>
      </c>
      <c r="C26" s="3">
        <f>IF($A26="","",IFERROR(GOOGLEFINANCE($A26,"price"),"sin dato"))</f>
      </c>
      <c r="D26">
        <f>IF($A26="","",IFERROR(GOOGLEFINANCE($A26,"currency"),""))</f>
      </c>
      <c r="E26" s="3">
        <f>IF($A26="","",IFERROR($B26*$C26,""))</f>
      </c>
      <c r="F26" s="3">
        <f>IF($A26="","",IFERROR(IF($D26="EUR",$E26,$E26*GOOGLEFINANCE("CURRENCY:"&amp;$D26&amp;"EUR")),""))</f>
      </c>
      <c r="G26" s="3">
        <f>IF($A26="","",SUMIFS(Operaciones!$G$2:$G$151,Operaciones!$B$2:$B$151,$A26,Operaciones!$C$2:$C$151,"Compra")-SUMIFS(Operaciones!$G$2:$G$151,Operaciones!$B$2:$B$151,$A26,Operaciones!$C$2:$C$151,"Venta"))</f>
      </c>
      <c r="H26" s="3">
        <f>IF($A26="","",IFERROR($F26-$G26,""))</f>
      </c>
      <c r="I26" s="4">
        <f>IF($A26="","",IFERROR($H26/$G26,""))</f>
      </c>
      <c r="J26" s="4">
        <f>IF($A26="","",IFERROR($F26/$F$28,""))</f>
      </c>
    </row>
    <row r="28">
      <c r="A28" s="1" t="inlineStr">
        <is>
          <t xml:space="preserve">TOTAL</t>
        </is>
      </c>
      <c r="F28" s="7">
        <f>SUM(F2:F26)</f>
      </c>
      <c r="G28" s="7">
        <f>SUM(G2:G26)</f>
      </c>
      <c r="H28" s="7">
        <f>SUM(H2:H26)</f>
      </c>
      <c r="I28" s="8">
        <f>IFERROR(H28/G28,"")</f>
      </c>
      <c r="J28" s="8">
        <f>SUM(J2:J26)</f>
      </c>
    </row>
    <row r="30">
      <c r="A30" t="inlineStr">
        <is>
          <t xml:space="preserve">Esta pestaña se rellena sola. Añade tus compras en Operaciones y los tickers aparecerán aquí.</t>
        </is>
      </c>
    </row>
    <row r="31">
      <c r="A31" t="inlineStr">
        <is>
          <t xml:space="preserve">Invertido neto = lo que has puesto de tu bolsillo menos lo que hayas recuperado vendiendo.</t>
        </is>
      </c>
    </row>
  </sheetData>
  <conditionalFormatting sqref="H2:I26">
    <cfRule type="cellIs" dxfId="0" priority="2" operator="lessThan">
      <formula>0</formula>
    </cfRule>
    <cfRule type="cellIs" dxfId="1" priority="1" operator="greaterThan">
      <formula>0</formula>
    </cfRule>
  </conditionalFormatting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38" customWidth="1"/>
    <col min="2" max="2" width="18" customWidth="1"/>
  </cols>
  <sheetData>
    <row r="1">
      <c r="A1" s="9" t="inlineStr">
        <is>
          <t xml:space="preserve">Resumen de tu cartera</t>
        </is>
      </c>
    </row>
    <row r="3">
      <c r="A3" t="inlineStr">
        <is>
          <t xml:space="preserve">Invertido neto</t>
        </is>
      </c>
      <c r="B3" s="3">
        <f>Cartera!G28</f>
      </c>
    </row>
    <row r="4">
      <c r="A4" t="inlineStr">
        <is>
          <t xml:space="preserve">Valor actual</t>
        </is>
      </c>
      <c r="B4" s="3">
        <f>Cartera!F28</f>
      </c>
    </row>
    <row r="5">
      <c r="A5" t="inlineStr">
        <is>
          <t xml:space="preserve">Ganancia / pérdida</t>
        </is>
      </c>
      <c r="B5" s="3">
        <f>Cartera!H28</f>
      </c>
    </row>
    <row r="6">
      <c r="A6" t="inlineStr">
        <is>
          <t xml:space="preserve">Rentabilidad simple</t>
        </is>
      </c>
      <c r="B6" s="4">
        <f>Cartera!I28</f>
      </c>
    </row>
    <row r="7">
      <c r="A7" s="1" t="inlineStr">
        <is>
          <t xml:space="preserve">Rentabilidad real anual (XIRR)</t>
        </is>
      </c>
      <c r="B7" s="8">
        <f>IFERROR(XIRR(OFFSET(B12,0,0,COUNT(B12:B163),1),OFFSET(A12,0,0,COUNT(B12:B163),1)),"Añade operaciones")</f>
      </c>
    </row>
    <row r="9">
      <c r="A9" t="inlineStr">
        <is>
          <t xml:space="preserve">La rentabilidad simple no tiene en cuenta cuándo metiste cada euro. El XIRR sí: por eso son distintas.</t>
        </is>
      </c>
    </row>
    <row r="11">
      <c r="A11" s="1" t="inlineStr">
        <is>
          <t xml:space="preserve">Flujos de caja (se calculan solos)</t>
        </is>
      </c>
    </row>
    <row r="12">
      <c r="A12" s="2">
        <f>TODAY()</f>
      </c>
      <c r="B12" s="3">
        <f>Cartera!F28</f>
      </c>
    </row>
    <row r="13">
      <c r="A13" s="2">
        <f>IFERROR(INDEX(FILTER(Operaciones!$A$2:$A$151,Operaciones!$B$2:$B$151&lt;&gt;""),1),"")</f>
      </c>
      <c r="B13" s="3">
        <f>IFERROR(INDEX(FILTER(IF(Operaciones!$C$2:$C$151="Venta",Operaciones!$G$2:$G$151,-Operaciones!$G$2:$G$151),Operaciones!$B$2:$B$151&lt;&gt;""),1),"")</f>
      </c>
    </row>
    <row r="14">
      <c r="A14" s="2">
        <f>IFERROR(INDEX(FILTER(Operaciones!$A$2:$A$151,Operaciones!$B$2:$B$151&lt;&gt;""),2),"")</f>
      </c>
      <c r="B14" s="3">
        <f>IFERROR(INDEX(FILTER(IF(Operaciones!$C$2:$C$151="Venta",Operaciones!$G$2:$G$151,-Operaciones!$G$2:$G$151),Operaciones!$B$2:$B$151&lt;&gt;""),2),"")</f>
      </c>
    </row>
    <row r="15">
      <c r="A15" s="2">
        <f>IFERROR(INDEX(FILTER(Operaciones!$A$2:$A$151,Operaciones!$B$2:$B$151&lt;&gt;""),3),"")</f>
      </c>
      <c r="B15" s="3">
        <f>IFERROR(INDEX(FILTER(IF(Operaciones!$C$2:$C$151="Venta",Operaciones!$G$2:$G$151,-Operaciones!$G$2:$G$151),Operaciones!$B$2:$B$151&lt;&gt;""),3),"")</f>
      </c>
    </row>
    <row r="16">
      <c r="A16" s="2">
        <f>IFERROR(INDEX(FILTER(Operaciones!$A$2:$A$151,Operaciones!$B$2:$B$151&lt;&gt;""),4),"")</f>
      </c>
      <c r="B16" s="3">
        <f>IFERROR(INDEX(FILTER(IF(Operaciones!$C$2:$C$151="Venta",Operaciones!$G$2:$G$151,-Operaciones!$G$2:$G$151),Operaciones!$B$2:$B$151&lt;&gt;""),4),"")</f>
      </c>
    </row>
    <row r="17">
      <c r="A17" s="2">
        <f>IFERROR(INDEX(FILTER(Operaciones!$A$2:$A$151,Operaciones!$B$2:$B$151&lt;&gt;""),5),"")</f>
      </c>
      <c r="B17" s="3">
        <f>IFERROR(INDEX(FILTER(IF(Operaciones!$C$2:$C$151="Venta",Operaciones!$G$2:$G$151,-Operaciones!$G$2:$G$151),Operaciones!$B$2:$B$151&lt;&gt;""),5),"")</f>
      </c>
    </row>
    <row r="18">
      <c r="A18" s="2">
        <f>IFERROR(INDEX(FILTER(Operaciones!$A$2:$A$151,Operaciones!$B$2:$B$151&lt;&gt;""),6),"")</f>
      </c>
      <c r="B18" s="3">
        <f>IFERROR(INDEX(FILTER(IF(Operaciones!$C$2:$C$151="Venta",Operaciones!$G$2:$G$151,-Operaciones!$G$2:$G$151),Operaciones!$B$2:$B$151&lt;&gt;""),6),"")</f>
      </c>
    </row>
    <row r="19">
      <c r="A19" s="2">
        <f>IFERROR(INDEX(FILTER(Operaciones!$A$2:$A$151,Operaciones!$B$2:$B$151&lt;&gt;""),7),"")</f>
      </c>
      <c r="B19" s="3">
        <f>IFERROR(INDEX(FILTER(IF(Operaciones!$C$2:$C$151="Venta",Operaciones!$G$2:$G$151,-Operaciones!$G$2:$G$151),Operaciones!$B$2:$B$151&lt;&gt;""),7),"")</f>
      </c>
    </row>
    <row r="20">
      <c r="A20" s="2">
        <f>IFERROR(INDEX(FILTER(Operaciones!$A$2:$A$151,Operaciones!$B$2:$B$151&lt;&gt;""),8),"")</f>
      </c>
      <c r="B20" s="3">
        <f>IFERROR(INDEX(FILTER(IF(Operaciones!$C$2:$C$151="Venta",Operaciones!$G$2:$G$151,-Operaciones!$G$2:$G$151),Operaciones!$B$2:$B$151&lt;&gt;""),8),"")</f>
      </c>
    </row>
    <row r="21">
      <c r="A21" s="2">
        <f>IFERROR(INDEX(FILTER(Operaciones!$A$2:$A$151,Operaciones!$B$2:$B$151&lt;&gt;""),9),"")</f>
      </c>
      <c r="B21" s="3">
        <f>IFERROR(INDEX(FILTER(IF(Operaciones!$C$2:$C$151="Venta",Operaciones!$G$2:$G$151,-Operaciones!$G$2:$G$151),Operaciones!$B$2:$B$151&lt;&gt;""),9),"")</f>
      </c>
    </row>
    <row r="22">
      <c r="A22" s="2">
        <f>IFERROR(INDEX(FILTER(Operaciones!$A$2:$A$151,Operaciones!$B$2:$B$151&lt;&gt;""),10),"")</f>
      </c>
      <c r="B22" s="3">
        <f>IFERROR(INDEX(FILTER(IF(Operaciones!$C$2:$C$151="Venta",Operaciones!$G$2:$G$151,-Operaciones!$G$2:$G$151),Operaciones!$B$2:$B$151&lt;&gt;""),10),"")</f>
      </c>
    </row>
    <row r="23">
      <c r="A23" s="2">
        <f>IFERROR(INDEX(FILTER(Operaciones!$A$2:$A$151,Operaciones!$B$2:$B$151&lt;&gt;""),11),"")</f>
      </c>
      <c r="B23" s="3">
        <f>IFERROR(INDEX(FILTER(IF(Operaciones!$C$2:$C$151="Venta",Operaciones!$G$2:$G$151,-Operaciones!$G$2:$G$151),Operaciones!$B$2:$B$151&lt;&gt;""),11),"")</f>
      </c>
    </row>
    <row r="24">
      <c r="A24" s="2">
        <f>IFERROR(INDEX(FILTER(Operaciones!$A$2:$A$151,Operaciones!$B$2:$B$151&lt;&gt;""),12),"")</f>
      </c>
      <c r="B24" s="3">
        <f>IFERROR(INDEX(FILTER(IF(Operaciones!$C$2:$C$151="Venta",Operaciones!$G$2:$G$151,-Operaciones!$G$2:$G$151),Operaciones!$B$2:$B$151&lt;&gt;""),12),"")</f>
      </c>
    </row>
    <row r="25">
      <c r="A25" s="2">
        <f>IFERROR(INDEX(FILTER(Operaciones!$A$2:$A$151,Operaciones!$B$2:$B$151&lt;&gt;""),13),"")</f>
      </c>
      <c r="B25" s="3">
        <f>IFERROR(INDEX(FILTER(IF(Operaciones!$C$2:$C$151="Venta",Operaciones!$G$2:$G$151,-Operaciones!$G$2:$G$151),Operaciones!$B$2:$B$151&lt;&gt;""),13),"")</f>
      </c>
    </row>
    <row r="26">
      <c r="A26" s="2">
        <f>IFERROR(INDEX(FILTER(Operaciones!$A$2:$A$151,Operaciones!$B$2:$B$151&lt;&gt;""),14),"")</f>
      </c>
      <c r="B26" s="3">
        <f>IFERROR(INDEX(FILTER(IF(Operaciones!$C$2:$C$151="Venta",Operaciones!$G$2:$G$151,-Operaciones!$G$2:$G$151),Operaciones!$B$2:$B$151&lt;&gt;""),14),"")</f>
      </c>
    </row>
    <row r="27">
      <c r="A27" s="2">
        <f>IFERROR(INDEX(FILTER(Operaciones!$A$2:$A$151,Operaciones!$B$2:$B$151&lt;&gt;""),15),"")</f>
      </c>
      <c r="B27" s="3">
        <f>IFERROR(INDEX(FILTER(IF(Operaciones!$C$2:$C$151="Venta",Operaciones!$G$2:$G$151,-Operaciones!$G$2:$G$151),Operaciones!$B$2:$B$151&lt;&gt;""),15),"")</f>
      </c>
    </row>
    <row r="28">
      <c r="A28" s="2">
        <f>IFERROR(INDEX(FILTER(Operaciones!$A$2:$A$151,Operaciones!$B$2:$B$151&lt;&gt;""),16),"")</f>
      </c>
      <c r="B28" s="3">
        <f>IFERROR(INDEX(FILTER(IF(Operaciones!$C$2:$C$151="Venta",Operaciones!$G$2:$G$151,-Operaciones!$G$2:$G$151),Operaciones!$B$2:$B$151&lt;&gt;""),16),"")</f>
      </c>
    </row>
    <row r="29">
      <c r="A29" s="2">
        <f>IFERROR(INDEX(FILTER(Operaciones!$A$2:$A$151,Operaciones!$B$2:$B$151&lt;&gt;""),17),"")</f>
      </c>
      <c r="B29" s="3">
        <f>IFERROR(INDEX(FILTER(IF(Operaciones!$C$2:$C$151="Venta",Operaciones!$G$2:$G$151,-Operaciones!$G$2:$G$151),Operaciones!$B$2:$B$151&lt;&gt;""),17),"")</f>
      </c>
    </row>
    <row r="30">
      <c r="A30" s="2">
        <f>IFERROR(INDEX(FILTER(Operaciones!$A$2:$A$151,Operaciones!$B$2:$B$151&lt;&gt;""),18),"")</f>
      </c>
      <c r="B30" s="3">
        <f>IFERROR(INDEX(FILTER(IF(Operaciones!$C$2:$C$151="Venta",Operaciones!$G$2:$G$151,-Operaciones!$G$2:$G$151),Operaciones!$B$2:$B$151&lt;&gt;""),18),"")</f>
      </c>
    </row>
    <row r="31">
      <c r="A31" s="2">
        <f>IFERROR(INDEX(FILTER(Operaciones!$A$2:$A$151,Operaciones!$B$2:$B$151&lt;&gt;""),19),"")</f>
      </c>
      <c r="B31" s="3">
        <f>IFERROR(INDEX(FILTER(IF(Operaciones!$C$2:$C$151="Venta",Operaciones!$G$2:$G$151,-Operaciones!$G$2:$G$151),Operaciones!$B$2:$B$151&lt;&gt;""),19),"")</f>
      </c>
    </row>
    <row r="32">
      <c r="A32" s="2">
        <f>IFERROR(INDEX(FILTER(Operaciones!$A$2:$A$151,Operaciones!$B$2:$B$151&lt;&gt;""),20),"")</f>
      </c>
      <c r="B32" s="3">
        <f>IFERROR(INDEX(FILTER(IF(Operaciones!$C$2:$C$151="Venta",Operaciones!$G$2:$G$151,-Operaciones!$G$2:$G$151),Operaciones!$B$2:$B$151&lt;&gt;""),20),"")</f>
      </c>
    </row>
    <row r="33">
      <c r="A33" s="2">
        <f>IFERROR(INDEX(FILTER(Operaciones!$A$2:$A$151,Operaciones!$B$2:$B$151&lt;&gt;""),21),"")</f>
      </c>
      <c r="B33" s="3">
        <f>IFERROR(INDEX(FILTER(IF(Operaciones!$C$2:$C$151="Venta",Operaciones!$G$2:$G$151,-Operaciones!$G$2:$G$151),Operaciones!$B$2:$B$151&lt;&gt;""),21),"")</f>
      </c>
    </row>
    <row r="34">
      <c r="A34" s="2">
        <f>IFERROR(INDEX(FILTER(Operaciones!$A$2:$A$151,Operaciones!$B$2:$B$151&lt;&gt;""),22),"")</f>
      </c>
      <c r="B34" s="3">
        <f>IFERROR(INDEX(FILTER(IF(Operaciones!$C$2:$C$151="Venta",Operaciones!$G$2:$G$151,-Operaciones!$G$2:$G$151),Operaciones!$B$2:$B$151&lt;&gt;""),22),"")</f>
      </c>
    </row>
    <row r="35">
      <c r="A35" s="2">
        <f>IFERROR(INDEX(FILTER(Operaciones!$A$2:$A$151,Operaciones!$B$2:$B$151&lt;&gt;""),23),"")</f>
      </c>
      <c r="B35" s="3">
        <f>IFERROR(INDEX(FILTER(IF(Operaciones!$C$2:$C$151="Venta",Operaciones!$G$2:$G$151,-Operaciones!$G$2:$G$151),Operaciones!$B$2:$B$151&lt;&gt;""),23),"")</f>
      </c>
    </row>
    <row r="36">
      <c r="A36" s="2">
        <f>IFERROR(INDEX(FILTER(Operaciones!$A$2:$A$151,Operaciones!$B$2:$B$151&lt;&gt;""),24),"")</f>
      </c>
      <c r="B36" s="3">
        <f>IFERROR(INDEX(FILTER(IF(Operaciones!$C$2:$C$151="Venta",Operaciones!$G$2:$G$151,-Operaciones!$G$2:$G$151),Operaciones!$B$2:$B$151&lt;&gt;""),24),"")</f>
      </c>
    </row>
    <row r="37">
      <c r="A37" s="2">
        <f>IFERROR(INDEX(FILTER(Operaciones!$A$2:$A$151,Operaciones!$B$2:$B$151&lt;&gt;""),25),"")</f>
      </c>
      <c r="B37" s="3">
        <f>IFERROR(INDEX(FILTER(IF(Operaciones!$C$2:$C$151="Venta",Operaciones!$G$2:$G$151,-Operaciones!$G$2:$G$151),Operaciones!$B$2:$B$151&lt;&gt;""),25),"")</f>
      </c>
    </row>
    <row r="38">
      <c r="A38" s="2">
        <f>IFERROR(INDEX(FILTER(Operaciones!$A$2:$A$151,Operaciones!$B$2:$B$151&lt;&gt;""),26),"")</f>
      </c>
      <c r="B38" s="3">
        <f>IFERROR(INDEX(FILTER(IF(Operaciones!$C$2:$C$151="Venta",Operaciones!$G$2:$G$151,-Operaciones!$G$2:$G$151),Operaciones!$B$2:$B$151&lt;&gt;""),26),"")</f>
      </c>
    </row>
    <row r="39">
      <c r="A39" s="2">
        <f>IFERROR(INDEX(FILTER(Operaciones!$A$2:$A$151,Operaciones!$B$2:$B$151&lt;&gt;""),27),"")</f>
      </c>
      <c r="B39" s="3">
        <f>IFERROR(INDEX(FILTER(IF(Operaciones!$C$2:$C$151="Venta",Operaciones!$G$2:$G$151,-Operaciones!$G$2:$G$151),Operaciones!$B$2:$B$151&lt;&gt;""),27),"")</f>
      </c>
    </row>
    <row r="40">
      <c r="A40" s="2">
        <f>IFERROR(INDEX(FILTER(Operaciones!$A$2:$A$151,Operaciones!$B$2:$B$151&lt;&gt;""),28),"")</f>
      </c>
      <c r="B40" s="3">
        <f>IFERROR(INDEX(FILTER(IF(Operaciones!$C$2:$C$151="Venta",Operaciones!$G$2:$G$151,-Operaciones!$G$2:$G$151),Operaciones!$B$2:$B$151&lt;&gt;""),28),"")</f>
      </c>
    </row>
    <row r="41">
      <c r="A41" s="2">
        <f>IFERROR(INDEX(FILTER(Operaciones!$A$2:$A$151,Operaciones!$B$2:$B$151&lt;&gt;""),29),"")</f>
      </c>
      <c r="B41" s="3">
        <f>IFERROR(INDEX(FILTER(IF(Operaciones!$C$2:$C$151="Venta",Operaciones!$G$2:$G$151,-Operaciones!$G$2:$G$151),Operaciones!$B$2:$B$151&lt;&gt;""),29),"")</f>
      </c>
    </row>
    <row r="42">
      <c r="A42" s="2">
        <f>IFERROR(INDEX(FILTER(Operaciones!$A$2:$A$151,Operaciones!$B$2:$B$151&lt;&gt;""),30),"")</f>
      </c>
      <c r="B42" s="3">
        <f>IFERROR(INDEX(FILTER(IF(Operaciones!$C$2:$C$151="Venta",Operaciones!$G$2:$G$151,-Operaciones!$G$2:$G$151),Operaciones!$B$2:$B$151&lt;&gt;""),30),"")</f>
      </c>
    </row>
    <row r="43">
      <c r="A43" s="2">
        <f>IFERROR(INDEX(FILTER(Operaciones!$A$2:$A$151,Operaciones!$B$2:$B$151&lt;&gt;""),31),"")</f>
      </c>
      <c r="B43" s="3">
        <f>IFERROR(INDEX(FILTER(IF(Operaciones!$C$2:$C$151="Venta",Operaciones!$G$2:$G$151,-Operaciones!$G$2:$G$151),Operaciones!$B$2:$B$151&lt;&gt;""),31),"")</f>
      </c>
    </row>
    <row r="44">
      <c r="A44" s="2">
        <f>IFERROR(INDEX(FILTER(Operaciones!$A$2:$A$151,Operaciones!$B$2:$B$151&lt;&gt;""),32),"")</f>
      </c>
      <c r="B44" s="3">
        <f>IFERROR(INDEX(FILTER(IF(Operaciones!$C$2:$C$151="Venta",Operaciones!$G$2:$G$151,-Operaciones!$G$2:$G$151),Operaciones!$B$2:$B$151&lt;&gt;""),32),"")</f>
      </c>
    </row>
    <row r="45">
      <c r="A45" s="2">
        <f>IFERROR(INDEX(FILTER(Operaciones!$A$2:$A$151,Operaciones!$B$2:$B$151&lt;&gt;""),33),"")</f>
      </c>
      <c r="B45" s="3">
        <f>IFERROR(INDEX(FILTER(IF(Operaciones!$C$2:$C$151="Venta",Operaciones!$G$2:$G$151,-Operaciones!$G$2:$G$151),Operaciones!$B$2:$B$151&lt;&gt;""),33),"")</f>
      </c>
    </row>
    <row r="46">
      <c r="A46" s="2">
        <f>IFERROR(INDEX(FILTER(Operaciones!$A$2:$A$151,Operaciones!$B$2:$B$151&lt;&gt;""),34),"")</f>
      </c>
      <c r="B46" s="3">
        <f>IFERROR(INDEX(FILTER(IF(Operaciones!$C$2:$C$151="Venta",Operaciones!$G$2:$G$151,-Operaciones!$G$2:$G$151),Operaciones!$B$2:$B$151&lt;&gt;""),34),"")</f>
      </c>
    </row>
    <row r="47">
      <c r="A47" s="2">
        <f>IFERROR(INDEX(FILTER(Operaciones!$A$2:$A$151,Operaciones!$B$2:$B$151&lt;&gt;""),35),"")</f>
      </c>
      <c r="B47" s="3">
        <f>IFERROR(INDEX(FILTER(IF(Operaciones!$C$2:$C$151="Venta",Operaciones!$G$2:$G$151,-Operaciones!$G$2:$G$151),Operaciones!$B$2:$B$151&lt;&gt;""),35),"")</f>
      </c>
    </row>
    <row r="48">
      <c r="A48" s="2">
        <f>IFERROR(INDEX(FILTER(Operaciones!$A$2:$A$151,Operaciones!$B$2:$B$151&lt;&gt;""),36),"")</f>
      </c>
      <c r="B48" s="3">
        <f>IFERROR(INDEX(FILTER(IF(Operaciones!$C$2:$C$151="Venta",Operaciones!$G$2:$G$151,-Operaciones!$G$2:$G$151),Operaciones!$B$2:$B$151&lt;&gt;""),36),"")</f>
      </c>
    </row>
    <row r="49">
      <c r="A49" s="2">
        <f>IFERROR(INDEX(FILTER(Operaciones!$A$2:$A$151,Operaciones!$B$2:$B$151&lt;&gt;""),37),"")</f>
      </c>
      <c r="B49" s="3">
        <f>IFERROR(INDEX(FILTER(IF(Operaciones!$C$2:$C$151="Venta",Operaciones!$G$2:$G$151,-Operaciones!$G$2:$G$151),Operaciones!$B$2:$B$151&lt;&gt;""),37),"")</f>
      </c>
    </row>
    <row r="50">
      <c r="A50" s="2">
        <f>IFERROR(INDEX(FILTER(Operaciones!$A$2:$A$151,Operaciones!$B$2:$B$151&lt;&gt;""),38),"")</f>
      </c>
      <c r="B50" s="3">
        <f>IFERROR(INDEX(FILTER(IF(Operaciones!$C$2:$C$151="Venta",Operaciones!$G$2:$G$151,-Operaciones!$G$2:$G$151),Operaciones!$B$2:$B$151&lt;&gt;""),38),"")</f>
      </c>
    </row>
    <row r="51">
      <c r="A51" s="2">
        <f>IFERROR(INDEX(FILTER(Operaciones!$A$2:$A$151,Operaciones!$B$2:$B$151&lt;&gt;""),39),"")</f>
      </c>
      <c r="B51" s="3">
        <f>IFERROR(INDEX(FILTER(IF(Operaciones!$C$2:$C$151="Venta",Operaciones!$G$2:$G$151,-Operaciones!$G$2:$G$151),Operaciones!$B$2:$B$151&lt;&gt;""),39),"")</f>
      </c>
    </row>
    <row r="52">
      <c r="A52" s="2">
        <f>IFERROR(INDEX(FILTER(Operaciones!$A$2:$A$151,Operaciones!$B$2:$B$151&lt;&gt;""),40),"")</f>
      </c>
      <c r="B52" s="3">
        <f>IFERROR(INDEX(FILTER(IF(Operaciones!$C$2:$C$151="Venta",Operaciones!$G$2:$G$151,-Operaciones!$G$2:$G$151),Operaciones!$B$2:$B$151&lt;&gt;""),40),"")</f>
      </c>
    </row>
    <row r="53">
      <c r="A53" s="2">
        <f>IFERROR(INDEX(FILTER(Operaciones!$A$2:$A$151,Operaciones!$B$2:$B$151&lt;&gt;""),41),"")</f>
      </c>
      <c r="B53" s="3">
        <f>IFERROR(INDEX(FILTER(IF(Operaciones!$C$2:$C$151="Venta",Operaciones!$G$2:$G$151,-Operaciones!$G$2:$G$151),Operaciones!$B$2:$B$151&lt;&gt;""),41),"")</f>
      </c>
    </row>
    <row r="54">
      <c r="A54" s="2">
        <f>IFERROR(INDEX(FILTER(Operaciones!$A$2:$A$151,Operaciones!$B$2:$B$151&lt;&gt;""),42),"")</f>
      </c>
      <c r="B54" s="3">
        <f>IFERROR(INDEX(FILTER(IF(Operaciones!$C$2:$C$151="Venta",Operaciones!$G$2:$G$151,-Operaciones!$G$2:$G$151),Operaciones!$B$2:$B$151&lt;&gt;""),42),"")</f>
      </c>
    </row>
    <row r="55">
      <c r="A55" s="2">
        <f>IFERROR(INDEX(FILTER(Operaciones!$A$2:$A$151,Operaciones!$B$2:$B$151&lt;&gt;""),43),"")</f>
      </c>
      <c r="B55" s="3">
        <f>IFERROR(INDEX(FILTER(IF(Operaciones!$C$2:$C$151="Venta",Operaciones!$G$2:$G$151,-Operaciones!$G$2:$G$151),Operaciones!$B$2:$B$151&lt;&gt;""),43),"")</f>
      </c>
    </row>
    <row r="56">
      <c r="A56" s="2">
        <f>IFERROR(INDEX(FILTER(Operaciones!$A$2:$A$151,Operaciones!$B$2:$B$151&lt;&gt;""),44),"")</f>
      </c>
      <c r="B56" s="3">
        <f>IFERROR(INDEX(FILTER(IF(Operaciones!$C$2:$C$151="Venta",Operaciones!$G$2:$G$151,-Operaciones!$G$2:$G$151),Operaciones!$B$2:$B$151&lt;&gt;""),44),"")</f>
      </c>
    </row>
    <row r="57">
      <c r="A57" s="2">
        <f>IFERROR(INDEX(FILTER(Operaciones!$A$2:$A$151,Operaciones!$B$2:$B$151&lt;&gt;""),45),"")</f>
      </c>
      <c r="B57" s="3">
        <f>IFERROR(INDEX(FILTER(IF(Operaciones!$C$2:$C$151="Venta",Operaciones!$G$2:$G$151,-Operaciones!$G$2:$G$151),Operaciones!$B$2:$B$151&lt;&gt;""),45),"")</f>
      </c>
    </row>
    <row r="58">
      <c r="A58" s="2">
        <f>IFERROR(INDEX(FILTER(Operaciones!$A$2:$A$151,Operaciones!$B$2:$B$151&lt;&gt;""),46),"")</f>
      </c>
      <c r="B58" s="3">
        <f>IFERROR(INDEX(FILTER(IF(Operaciones!$C$2:$C$151="Venta",Operaciones!$G$2:$G$151,-Operaciones!$G$2:$G$151),Operaciones!$B$2:$B$151&lt;&gt;""),46),"")</f>
      </c>
    </row>
    <row r="59">
      <c r="A59" s="2">
        <f>IFERROR(INDEX(FILTER(Operaciones!$A$2:$A$151,Operaciones!$B$2:$B$151&lt;&gt;""),47),"")</f>
      </c>
      <c r="B59" s="3">
        <f>IFERROR(INDEX(FILTER(IF(Operaciones!$C$2:$C$151="Venta",Operaciones!$G$2:$G$151,-Operaciones!$G$2:$G$151),Operaciones!$B$2:$B$151&lt;&gt;""),47),"")</f>
      </c>
    </row>
    <row r="60">
      <c r="A60" s="2">
        <f>IFERROR(INDEX(FILTER(Operaciones!$A$2:$A$151,Operaciones!$B$2:$B$151&lt;&gt;""),48),"")</f>
      </c>
      <c r="B60" s="3">
        <f>IFERROR(INDEX(FILTER(IF(Operaciones!$C$2:$C$151="Venta",Operaciones!$G$2:$G$151,-Operaciones!$G$2:$G$151),Operaciones!$B$2:$B$151&lt;&gt;""),48),"")</f>
      </c>
    </row>
    <row r="61">
      <c r="A61" s="2">
        <f>IFERROR(INDEX(FILTER(Operaciones!$A$2:$A$151,Operaciones!$B$2:$B$151&lt;&gt;""),49),"")</f>
      </c>
      <c r="B61" s="3">
        <f>IFERROR(INDEX(FILTER(IF(Operaciones!$C$2:$C$151="Venta",Operaciones!$G$2:$G$151,-Operaciones!$G$2:$G$151),Operaciones!$B$2:$B$151&lt;&gt;""),49),"")</f>
      </c>
    </row>
    <row r="62">
      <c r="A62" s="2">
        <f>IFERROR(INDEX(FILTER(Operaciones!$A$2:$A$151,Operaciones!$B$2:$B$151&lt;&gt;""),50),"")</f>
      </c>
      <c r="B62" s="3">
        <f>IFERROR(INDEX(FILTER(IF(Operaciones!$C$2:$C$151="Venta",Operaciones!$G$2:$G$151,-Operaciones!$G$2:$G$151),Operaciones!$B$2:$B$151&lt;&gt;""),50),"")</f>
      </c>
    </row>
    <row r="63">
      <c r="A63" s="2">
        <f>IFERROR(INDEX(FILTER(Operaciones!$A$2:$A$151,Operaciones!$B$2:$B$151&lt;&gt;""),51),"")</f>
      </c>
      <c r="B63" s="3">
        <f>IFERROR(INDEX(FILTER(IF(Operaciones!$C$2:$C$151="Venta",Operaciones!$G$2:$G$151,-Operaciones!$G$2:$G$151),Operaciones!$B$2:$B$151&lt;&gt;""),51),"")</f>
      </c>
    </row>
    <row r="64">
      <c r="A64" s="2">
        <f>IFERROR(INDEX(FILTER(Operaciones!$A$2:$A$151,Operaciones!$B$2:$B$151&lt;&gt;""),52),"")</f>
      </c>
      <c r="B64" s="3">
        <f>IFERROR(INDEX(FILTER(IF(Operaciones!$C$2:$C$151="Venta",Operaciones!$G$2:$G$151,-Operaciones!$G$2:$G$151),Operaciones!$B$2:$B$151&lt;&gt;""),52),"")</f>
      </c>
    </row>
    <row r="65">
      <c r="A65" s="2">
        <f>IFERROR(INDEX(FILTER(Operaciones!$A$2:$A$151,Operaciones!$B$2:$B$151&lt;&gt;""),53),"")</f>
      </c>
      <c r="B65" s="3">
        <f>IFERROR(INDEX(FILTER(IF(Operaciones!$C$2:$C$151="Venta",Operaciones!$G$2:$G$151,-Operaciones!$G$2:$G$151),Operaciones!$B$2:$B$151&lt;&gt;""),53),"")</f>
      </c>
    </row>
    <row r="66">
      <c r="A66" s="2">
        <f>IFERROR(INDEX(FILTER(Operaciones!$A$2:$A$151,Operaciones!$B$2:$B$151&lt;&gt;""),54),"")</f>
      </c>
      <c r="B66" s="3">
        <f>IFERROR(INDEX(FILTER(IF(Operaciones!$C$2:$C$151="Venta",Operaciones!$G$2:$G$151,-Operaciones!$G$2:$G$151),Operaciones!$B$2:$B$151&lt;&gt;""),54),"")</f>
      </c>
    </row>
    <row r="67">
      <c r="A67" s="2">
        <f>IFERROR(INDEX(FILTER(Operaciones!$A$2:$A$151,Operaciones!$B$2:$B$151&lt;&gt;""),55),"")</f>
      </c>
      <c r="B67" s="3">
        <f>IFERROR(INDEX(FILTER(IF(Operaciones!$C$2:$C$151="Venta",Operaciones!$G$2:$G$151,-Operaciones!$G$2:$G$151),Operaciones!$B$2:$B$151&lt;&gt;""),55),"")</f>
      </c>
    </row>
    <row r="68">
      <c r="A68" s="2">
        <f>IFERROR(INDEX(FILTER(Operaciones!$A$2:$A$151,Operaciones!$B$2:$B$151&lt;&gt;""),56),"")</f>
      </c>
      <c r="B68" s="3">
        <f>IFERROR(INDEX(FILTER(IF(Operaciones!$C$2:$C$151="Venta",Operaciones!$G$2:$G$151,-Operaciones!$G$2:$G$151),Operaciones!$B$2:$B$151&lt;&gt;""),56),"")</f>
      </c>
    </row>
    <row r="69">
      <c r="A69" s="2">
        <f>IFERROR(INDEX(FILTER(Operaciones!$A$2:$A$151,Operaciones!$B$2:$B$151&lt;&gt;""),57),"")</f>
      </c>
      <c r="B69" s="3">
        <f>IFERROR(INDEX(FILTER(IF(Operaciones!$C$2:$C$151="Venta",Operaciones!$G$2:$G$151,-Operaciones!$G$2:$G$151),Operaciones!$B$2:$B$151&lt;&gt;""),57),"")</f>
      </c>
    </row>
    <row r="70">
      <c r="A70" s="2">
        <f>IFERROR(INDEX(FILTER(Operaciones!$A$2:$A$151,Operaciones!$B$2:$B$151&lt;&gt;""),58),"")</f>
      </c>
      <c r="B70" s="3">
        <f>IFERROR(INDEX(FILTER(IF(Operaciones!$C$2:$C$151="Venta",Operaciones!$G$2:$G$151,-Operaciones!$G$2:$G$151),Operaciones!$B$2:$B$151&lt;&gt;""),58),"")</f>
      </c>
    </row>
    <row r="71">
      <c r="A71" s="2">
        <f>IFERROR(INDEX(FILTER(Operaciones!$A$2:$A$151,Operaciones!$B$2:$B$151&lt;&gt;""),59),"")</f>
      </c>
      <c r="B71" s="3">
        <f>IFERROR(INDEX(FILTER(IF(Operaciones!$C$2:$C$151="Venta",Operaciones!$G$2:$G$151,-Operaciones!$G$2:$G$151),Operaciones!$B$2:$B$151&lt;&gt;""),59),"")</f>
      </c>
    </row>
    <row r="72">
      <c r="A72" s="2">
        <f>IFERROR(INDEX(FILTER(Operaciones!$A$2:$A$151,Operaciones!$B$2:$B$151&lt;&gt;""),60),"")</f>
      </c>
      <c r="B72" s="3">
        <f>IFERROR(INDEX(FILTER(IF(Operaciones!$C$2:$C$151="Venta",Operaciones!$G$2:$G$151,-Operaciones!$G$2:$G$151),Operaciones!$B$2:$B$151&lt;&gt;""),60),"")</f>
      </c>
    </row>
    <row r="73">
      <c r="A73" s="2">
        <f>IFERROR(INDEX(FILTER(Operaciones!$A$2:$A$151,Operaciones!$B$2:$B$151&lt;&gt;""),61),"")</f>
      </c>
      <c r="B73" s="3">
        <f>IFERROR(INDEX(FILTER(IF(Operaciones!$C$2:$C$151="Venta",Operaciones!$G$2:$G$151,-Operaciones!$G$2:$G$151),Operaciones!$B$2:$B$151&lt;&gt;""),61),"")</f>
      </c>
    </row>
    <row r="74">
      <c r="A74" s="2">
        <f>IFERROR(INDEX(FILTER(Operaciones!$A$2:$A$151,Operaciones!$B$2:$B$151&lt;&gt;""),62),"")</f>
      </c>
      <c r="B74" s="3">
        <f>IFERROR(INDEX(FILTER(IF(Operaciones!$C$2:$C$151="Venta",Operaciones!$G$2:$G$151,-Operaciones!$G$2:$G$151),Operaciones!$B$2:$B$151&lt;&gt;""),62),"")</f>
      </c>
    </row>
    <row r="75">
      <c r="A75" s="2">
        <f>IFERROR(INDEX(FILTER(Operaciones!$A$2:$A$151,Operaciones!$B$2:$B$151&lt;&gt;""),63),"")</f>
      </c>
      <c r="B75" s="3">
        <f>IFERROR(INDEX(FILTER(IF(Operaciones!$C$2:$C$151="Venta",Operaciones!$G$2:$G$151,-Operaciones!$G$2:$G$151),Operaciones!$B$2:$B$151&lt;&gt;""),63),"")</f>
      </c>
    </row>
    <row r="76">
      <c r="A76" s="2">
        <f>IFERROR(INDEX(FILTER(Operaciones!$A$2:$A$151,Operaciones!$B$2:$B$151&lt;&gt;""),64),"")</f>
      </c>
      <c r="B76" s="3">
        <f>IFERROR(INDEX(FILTER(IF(Operaciones!$C$2:$C$151="Venta",Operaciones!$G$2:$G$151,-Operaciones!$G$2:$G$151),Operaciones!$B$2:$B$151&lt;&gt;""),64),"")</f>
      </c>
    </row>
    <row r="77">
      <c r="A77" s="2">
        <f>IFERROR(INDEX(FILTER(Operaciones!$A$2:$A$151,Operaciones!$B$2:$B$151&lt;&gt;""),65),"")</f>
      </c>
      <c r="B77" s="3">
        <f>IFERROR(INDEX(FILTER(IF(Operaciones!$C$2:$C$151="Venta",Operaciones!$G$2:$G$151,-Operaciones!$G$2:$G$151),Operaciones!$B$2:$B$151&lt;&gt;""),65),"")</f>
      </c>
    </row>
    <row r="78">
      <c r="A78" s="2">
        <f>IFERROR(INDEX(FILTER(Operaciones!$A$2:$A$151,Operaciones!$B$2:$B$151&lt;&gt;""),66),"")</f>
      </c>
      <c r="B78" s="3">
        <f>IFERROR(INDEX(FILTER(IF(Operaciones!$C$2:$C$151="Venta",Operaciones!$G$2:$G$151,-Operaciones!$G$2:$G$151),Operaciones!$B$2:$B$151&lt;&gt;""),66),"")</f>
      </c>
    </row>
    <row r="79">
      <c r="A79" s="2">
        <f>IFERROR(INDEX(FILTER(Operaciones!$A$2:$A$151,Operaciones!$B$2:$B$151&lt;&gt;""),67),"")</f>
      </c>
      <c r="B79" s="3">
        <f>IFERROR(INDEX(FILTER(IF(Operaciones!$C$2:$C$151="Venta",Operaciones!$G$2:$G$151,-Operaciones!$G$2:$G$151),Operaciones!$B$2:$B$151&lt;&gt;""),67),"")</f>
      </c>
    </row>
    <row r="80">
      <c r="A80" s="2">
        <f>IFERROR(INDEX(FILTER(Operaciones!$A$2:$A$151,Operaciones!$B$2:$B$151&lt;&gt;""),68),"")</f>
      </c>
      <c r="B80" s="3">
        <f>IFERROR(INDEX(FILTER(IF(Operaciones!$C$2:$C$151="Venta",Operaciones!$G$2:$G$151,-Operaciones!$G$2:$G$151),Operaciones!$B$2:$B$151&lt;&gt;""),68),"")</f>
      </c>
    </row>
    <row r="81">
      <c r="A81" s="2">
        <f>IFERROR(INDEX(FILTER(Operaciones!$A$2:$A$151,Operaciones!$B$2:$B$151&lt;&gt;""),69),"")</f>
      </c>
      <c r="B81" s="3">
        <f>IFERROR(INDEX(FILTER(IF(Operaciones!$C$2:$C$151="Venta",Operaciones!$G$2:$G$151,-Operaciones!$G$2:$G$151),Operaciones!$B$2:$B$151&lt;&gt;""),69),"")</f>
      </c>
    </row>
    <row r="82">
      <c r="A82" s="2">
        <f>IFERROR(INDEX(FILTER(Operaciones!$A$2:$A$151,Operaciones!$B$2:$B$151&lt;&gt;""),70),"")</f>
      </c>
      <c r="B82" s="3">
        <f>IFERROR(INDEX(FILTER(IF(Operaciones!$C$2:$C$151="Venta",Operaciones!$G$2:$G$151,-Operaciones!$G$2:$G$151),Operaciones!$B$2:$B$151&lt;&gt;""),70),"")</f>
      </c>
    </row>
    <row r="83">
      <c r="A83" s="2">
        <f>IFERROR(INDEX(FILTER(Operaciones!$A$2:$A$151,Operaciones!$B$2:$B$151&lt;&gt;""),71),"")</f>
      </c>
      <c r="B83" s="3">
        <f>IFERROR(INDEX(FILTER(IF(Operaciones!$C$2:$C$151="Venta",Operaciones!$G$2:$G$151,-Operaciones!$G$2:$G$151),Operaciones!$B$2:$B$151&lt;&gt;""),71),"")</f>
      </c>
    </row>
    <row r="84">
      <c r="A84" s="2">
        <f>IFERROR(INDEX(FILTER(Operaciones!$A$2:$A$151,Operaciones!$B$2:$B$151&lt;&gt;""),72),"")</f>
      </c>
      <c r="B84" s="3">
        <f>IFERROR(INDEX(FILTER(IF(Operaciones!$C$2:$C$151="Venta",Operaciones!$G$2:$G$151,-Operaciones!$G$2:$G$151),Operaciones!$B$2:$B$151&lt;&gt;""),72),"")</f>
      </c>
    </row>
    <row r="85">
      <c r="A85" s="2">
        <f>IFERROR(INDEX(FILTER(Operaciones!$A$2:$A$151,Operaciones!$B$2:$B$151&lt;&gt;""),73),"")</f>
      </c>
      <c r="B85" s="3">
        <f>IFERROR(INDEX(FILTER(IF(Operaciones!$C$2:$C$151="Venta",Operaciones!$G$2:$G$151,-Operaciones!$G$2:$G$151),Operaciones!$B$2:$B$151&lt;&gt;""),73),"")</f>
      </c>
    </row>
    <row r="86">
      <c r="A86" s="2">
        <f>IFERROR(INDEX(FILTER(Operaciones!$A$2:$A$151,Operaciones!$B$2:$B$151&lt;&gt;""),74),"")</f>
      </c>
      <c r="B86" s="3">
        <f>IFERROR(INDEX(FILTER(IF(Operaciones!$C$2:$C$151="Venta",Operaciones!$G$2:$G$151,-Operaciones!$G$2:$G$151),Operaciones!$B$2:$B$151&lt;&gt;""),74),"")</f>
      </c>
    </row>
    <row r="87">
      <c r="A87" s="2">
        <f>IFERROR(INDEX(FILTER(Operaciones!$A$2:$A$151,Operaciones!$B$2:$B$151&lt;&gt;""),75),"")</f>
      </c>
      <c r="B87" s="3">
        <f>IFERROR(INDEX(FILTER(IF(Operaciones!$C$2:$C$151="Venta",Operaciones!$G$2:$G$151,-Operaciones!$G$2:$G$151),Operaciones!$B$2:$B$151&lt;&gt;""),75),"")</f>
      </c>
    </row>
    <row r="88">
      <c r="A88" s="2">
        <f>IFERROR(INDEX(FILTER(Operaciones!$A$2:$A$151,Operaciones!$B$2:$B$151&lt;&gt;""),76),"")</f>
      </c>
      <c r="B88" s="3">
        <f>IFERROR(INDEX(FILTER(IF(Operaciones!$C$2:$C$151="Venta",Operaciones!$G$2:$G$151,-Operaciones!$G$2:$G$151),Operaciones!$B$2:$B$151&lt;&gt;""),76),"")</f>
      </c>
    </row>
    <row r="89">
      <c r="A89" s="2">
        <f>IFERROR(INDEX(FILTER(Operaciones!$A$2:$A$151,Operaciones!$B$2:$B$151&lt;&gt;""),77),"")</f>
      </c>
      <c r="B89" s="3">
        <f>IFERROR(INDEX(FILTER(IF(Operaciones!$C$2:$C$151="Venta",Operaciones!$G$2:$G$151,-Operaciones!$G$2:$G$151),Operaciones!$B$2:$B$151&lt;&gt;""),77),"")</f>
      </c>
    </row>
    <row r="90">
      <c r="A90" s="2">
        <f>IFERROR(INDEX(FILTER(Operaciones!$A$2:$A$151,Operaciones!$B$2:$B$151&lt;&gt;""),78),"")</f>
      </c>
      <c r="B90" s="3">
        <f>IFERROR(INDEX(FILTER(IF(Operaciones!$C$2:$C$151="Venta",Operaciones!$G$2:$G$151,-Operaciones!$G$2:$G$151),Operaciones!$B$2:$B$151&lt;&gt;""),78),"")</f>
      </c>
    </row>
    <row r="91">
      <c r="A91" s="2">
        <f>IFERROR(INDEX(FILTER(Operaciones!$A$2:$A$151,Operaciones!$B$2:$B$151&lt;&gt;""),79),"")</f>
      </c>
      <c r="B91" s="3">
        <f>IFERROR(INDEX(FILTER(IF(Operaciones!$C$2:$C$151="Venta",Operaciones!$G$2:$G$151,-Operaciones!$G$2:$G$151),Operaciones!$B$2:$B$151&lt;&gt;""),79),"")</f>
      </c>
    </row>
    <row r="92">
      <c r="A92" s="2">
        <f>IFERROR(INDEX(FILTER(Operaciones!$A$2:$A$151,Operaciones!$B$2:$B$151&lt;&gt;""),80),"")</f>
      </c>
      <c r="B92" s="3">
        <f>IFERROR(INDEX(FILTER(IF(Operaciones!$C$2:$C$151="Venta",Operaciones!$G$2:$G$151,-Operaciones!$G$2:$G$151),Operaciones!$B$2:$B$151&lt;&gt;""),80),"")</f>
      </c>
    </row>
    <row r="93">
      <c r="A93" s="2">
        <f>IFERROR(INDEX(FILTER(Operaciones!$A$2:$A$151,Operaciones!$B$2:$B$151&lt;&gt;""),81),"")</f>
      </c>
      <c r="B93" s="3">
        <f>IFERROR(INDEX(FILTER(IF(Operaciones!$C$2:$C$151="Venta",Operaciones!$G$2:$G$151,-Operaciones!$G$2:$G$151),Operaciones!$B$2:$B$151&lt;&gt;""),81),"")</f>
      </c>
    </row>
    <row r="94">
      <c r="A94" s="2">
        <f>IFERROR(INDEX(FILTER(Operaciones!$A$2:$A$151,Operaciones!$B$2:$B$151&lt;&gt;""),82),"")</f>
      </c>
      <c r="B94" s="3">
        <f>IFERROR(INDEX(FILTER(IF(Operaciones!$C$2:$C$151="Venta",Operaciones!$G$2:$G$151,-Operaciones!$G$2:$G$151),Operaciones!$B$2:$B$151&lt;&gt;""),82),"")</f>
      </c>
    </row>
    <row r="95">
      <c r="A95" s="2">
        <f>IFERROR(INDEX(FILTER(Operaciones!$A$2:$A$151,Operaciones!$B$2:$B$151&lt;&gt;""),83),"")</f>
      </c>
      <c r="B95" s="3">
        <f>IFERROR(INDEX(FILTER(IF(Operaciones!$C$2:$C$151="Venta",Operaciones!$G$2:$G$151,-Operaciones!$G$2:$G$151),Operaciones!$B$2:$B$151&lt;&gt;""),83),"")</f>
      </c>
    </row>
    <row r="96">
      <c r="A96" s="2">
        <f>IFERROR(INDEX(FILTER(Operaciones!$A$2:$A$151,Operaciones!$B$2:$B$151&lt;&gt;""),84),"")</f>
      </c>
      <c r="B96" s="3">
        <f>IFERROR(INDEX(FILTER(IF(Operaciones!$C$2:$C$151="Venta",Operaciones!$G$2:$G$151,-Operaciones!$G$2:$G$151),Operaciones!$B$2:$B$151&lt;&gt;""),84),"")</f>
      </c>
    </row>
    <row r="97">
      <c r="A97" s="2">
        <f>IFERROR(INDEX(FILTER(Operaciones!$A$2:$A$151,Operaciones!$B$2:$B$151&lt;&gt;""),85),"")</f>
      </c>
      <c r="B97" s="3">
        <f>IFERROR(INDEX(FILTER(IF(Operaciones!$C$2:$C$151="Venta",Operaciones!$G$2:$G$151,-Operaciones!$G$2:$G$151),Operaciones!$B$2:$B$151&lt;&gt;""),85),"")</f>
      </c>
    </row>
    <row r="98">
      <c r="A98" s="2">
        <f>IFERROR(INDEX(FILTER(Operaciones!$A$2:$A$151,Operaciones!$B$2:$B$151&lt;&gt;""),86),"")</f>
      </c>
      <c r="B98" s="3">
        <f>IFERROR(INDEX(FILTER(IF(Operaciones!$C$2:$C$151="Venta",Operaciones!$G$2:$G$151,-Operaciones!$G$2:$G$151),Operaciones!$B$2:$B$151&lt;&gt;""),86),"")</f>
      </c>
    </row>
    <row r="99">
      <c r="A99" s="2">
        <f>IFERROR(INDEX(FILTER(Operaciones!$A$2:$A$151,Operaciones!$B$2:$B$151&lt;&gt;""),87),"")</f>
      </c>
      <c r="B99" s="3">
        <f>IFERROR(INDEX(FILTER(IF(Operaciones!$C$2:$C$151="Venta",Operaciones!$G$2:$G$151,-Operaciones!$G$2:$G$151),Operaciones!$B$2:$B$151&lt;&gt;""),87),"")</f>
      </c>
    </row>
    <row r="100">
      <c r="A100" s="2">
        <f>IFERROR(INDEX(FILTER(Operaciones!$A$2:$A$151,Operaciones!$B$2:$B$151&lt;&gt;""),88),"")</f>
      </c>
      <c r="B100" s="3">
        <f>IFERROR(INDEX(FILTER(IF(Operaciones!$C$2:$C$151="Venta",Operaciones!$G$2:$G$151,-Operaciones!$G$2:$G$151),Operaciones!$B$2:$B$151&lt;&gt;""),88),"")</f>
      </c>
    </row>
    <row r="101">
      <c r="A101" s="2">
        <f>IFERROR(INDEX(FILTER(Operaciones!$A$2:$A$151,Operaciones!$B$2:$B$151&lt;&gt;""),89),"")</f>
      </c>
      <c r="B101" s="3">
        <f>IFERROR(INDEX(FILTER(IF(Operaciones!$C$2:$C$151="Venta",Operaciones!$G$2:$G$151,-Operaciones!$G$2:$G$151),Operaciones!$B$2:$B$151&lt;&gt;""),89),"")</f>
      </c>
    </row>
    <row r="102">
      <c r="A102" s="2">
        <f>IFERROR(INDEX(FILTER(Operaciones!$A$2:$A$151,Operaciones!$B$2:$B$151&lt;&gt;""),90),"")</f>
      </c>
      <c r="B102" s="3">
        <f>IFERROR(INDEX(FILTER(IF(Operaciones!$C$2:$C$151="Venta",Operaciones!$G$2:$G$151,-Operaciones!$G$2:$G$151),Operaciones!$B$2:$B$151&lt;&gt;""),90),"")</f>
      </c>
    </row>
    <row r="103">
      <c r="A103" s="2">
        <f>IFERROR(INDEX(FILTER(Operaciones!$A$2:$A$151,Operaciones!$B$2:$B$151&lt;&gt;""),91),"")</f>
      </c>
      <c r="B103" s="3">
        <f>IFERROR(INDEX(FILTER(IF(Operaciones!$C$2:$C$151="Venta",Operaciones!$G$2:$G$151,-Operaciones!$G$2:$G$151),Operaciones!$B$2:$B$151&lt;&gt;""),91),"")</f>
      </c>
    </row>
    <row r="104">
      <c r="A104" s="2">
        <f>IFERROR(INDEX(FILTER(Operaciones!$A$2:$A$151,Operaciones!$B$2:$B$151&lt;&gt;""),92),"")</f>
      </c>
      <c r="B104" s="3">
        <f>IFERROR(INDEX(FILTER(IF(Operaciones!$C$2:$C$151="Venta",Operaciones!$G$2:$G$151,-Operaciones!$G$2:$G$151),Operaciones!$B$2:$B$151&lt;&gt;""),92),"")</f>
      </c>
    </row>
    <row r="105">
      <c r="A105" s="2">
        <f>IFERROR(INDEX(FILTER(Operaciones!$A$2:$A$151,Operaciones!$B$2:$B$151&lt;&gt;""),93),"")</f>
      </c>
      <c r="B105" s="3">
        <f>IFERROR(INDEX(FILTER(IF(Operaciones!$C$2:$C$151="Venta",Operaciones!$G$2:$G$151,-Operaciones!$G$2:$G$151),Operaciones!$B$2:$B$151&lt;&gt;""),93),"")</f>
      </c>
    </row>
    <row r="106">
      <c r="A106" s="2">
        <f>IFERROR(INDEX(FILTER(Operaciones!$A$2:$A$151,Operaciones!$B$2:$B$151&lt;&gt;""),94),"")</f>
      </c>
      <c r="B106" s="3">
        <f>IFERROR(INDEX(FILTER(IF(Operaciones!$C$2:$C$151="Venta",Operaciones!$G$2:$G$151,-Operaciones!$G$2:$G$151),Operaciones!$B$2:$B$151&lt;&gt;""),94),"")</f>
      </c>
    </row>
    <row r="107">
      <c r="A107" s="2">
        <f>IFERROR(INDEX(FILTER(Operaciones!$A$2:$A$151,Operaciones!$B$2:$B$151&lt;&gt;""),95),"")</f>
      </c>
      <c r="B107" s="3">
        <f>IFERROR(INDEX(FILTER(IF(Operaciones!$C$2:$C$151="Venta",Operaciones!$G$2:$G$151,-Operaciones!$G$2:$G$151),Operaciones!$B$2:$B$151&lt;&gt;""),95),"")</f>
      </c>
    </row>
    <row r="108">
      <c r="A108" s="2">
        <f>IFERROR(INDEX(FILTER(Operaciones!$A$2:$A$151,Operaciones!$B$2:$B$151&lt;&gt;""),96),"")</f>
      </c>
      <c r="B108" s="3">
        <f>IFERROR(INDEX(FILTER(IF(Operaciones!$C$2:$C$151="Venta",Operaciones!$G$2:$G$151,-Operaciones!$G$2:$G$151),Operaciones!$B$2:$B$151&lt;&gt;""),96),"")</f>
      </c>
    </row>
    <row r="109">
      <c r="A109" s="2">
        <f>IFERROR(INDEX(FILTER(Operaciones!$A$2:$A$151,Operaciones!$B$2:$B$151&lt;&gt;""),97),"")</f>
      </c>
      <c r="B109" s="3">
        <f>IFERROR(INDEX(FILTER(IF(Operaciones!$C$2:$C$151="Venta",Operaciones!$G$2:$G$151,-Operaciones!$G$2:$G$151),Operaciones!$B$2:$B$151&lt;&gt;""),97),"")</f>
      </c>
    </row>
    <row r="110">
      <c r="A110" s="2">
        <f>IFERROR(INDEX(FILTER(Operaciones!$A$2:$A$151,Operaciones!$B$2:$B$151&lt;&gt;""),98),"")</f>
      </c>
      <c r="B110" s="3">
        <f>IFERROR(INDEX(FILTER(IF(Operaciones!$C$2:$C$151="Venta",Operaciones!$G$2:$G$151,-Operaciones!$G$2:$G$151),Operaciones!$B$2:$B$151&lt;&gt;""),98),"")</f>
      </c>
    </row>
    <row r="111">
      <c r="A111" s="2">
        <f>IFERROR(INDEX(FILTER(Operaciones!$A$2:$A$151,Operaciones!$B$2:$B$151&lt;&gt;""),99),"")</f>
      </c>
      <c r="B111" s="3">
        <f>IFERROR(INDEX(FILTER(IF(Operaciones!$C$2:$C$151="Venta",Operaciones!$G$2:$G$151,-Operaciones!$G$2:$G$151),Operaciones!$B$2:$B$151&lt;&gt;""),99),"")</f>
      </c>
    </row>
    <row r="112">
      <c r="A112" s="2">
        <f>IFERROR(INDEX(FILTER(Operaciones!$A$2:$A$151,Operaciones!$B$2:$B$151&lt;&gt;""),100),"")</f>
      </c>
      <c r="B112" s="3">
        <f>IFERROR(INDEX(FILTER(IF(Operaciones!$C$2:$C$151="Venta",Operaciones!$G$2:$G$151,-Operaciones!$G$2:$G$151),Operaciones!$B$2:$B$151&lt;&gt;""),100),"")</f>
      </c>
    </row>
    <row r="113">
      <c r="A113" s="2">
        <f>IFERROR(INDEX(FILTER(Operaciones!$A$2:$A$151,Operaciones!$B$2:$B$151&lt;&gt;""),101),"")</f>
      </c>
      <c r="B113" s="3">
        <f>IFERROR(INDEX(FILTER(IF(Operaciones!$C$2:$C$151="Venta",Operaciones!$G$2:$G$151,-Operaciones!$G$2:$G$151),Operaciones!$B$2:$B$151&lt;&gt;""),101),"")</f>
      </c>
    </row>
    <row r="114">
      <c r="A114" s="2">
        <f>IFERROR(INDEX(FILTER(Operaciones!$A$2:$A$151,Operaciones!$B$2:$B$151&lt;&gt;""),102),"")</f>
      </c>
      <c r="B114" s="3">
        <f>IFERROR(INDEX(FILTER(IF(Operaciones!$C$2:$C$151="Venta",Operaciones!$G$2:$G$151,-Operaciones!$G$2:$G$151),Operaciones!$B$2:$B$151&lt;&gt;""),102),"")</f>
      </c>
    </row>
    <row r="115">
      <c r="A115" s="2">
        <f>IFERROR(INDEX(FILTER(Operaciones!$A$2:$A$151,Operaciones!$B$2:$B$151&lt;&gt;""),103),"")</f>
      </c>
      <c r="B115" s="3">
        <f>IFERROR(INDEX(FILTER(IF(Operaciones!$C$2:$C$151="Venta",Operaciones!$G$2:$G$151,-Operaciones!$G$2:$G$151),Operaciones!$B$2:$B$151&lt;&gt;""),103),"")</f>
      </c>
    </row>
    <row r="116">
      <c r="A116" s="2">
        <f>IFERROR(INDEX(FILTER(Operaciones!$A$2:$A$151,Operaciones!$B$2:$B$151&lt;&gt;""),104),"")</f>
      </c>
      <c r="B116" s="3">
        <f>IFERROR(INDEX(FILTER(IF(Operaciones!$C$2:$C$151="Venta",Operaciones!$G$2:$G$151,-Operaciones!$G$2:$G$151),Operaciones!$B$2:$B$151&lt;&gt;""),104),"")</f>
      </c>
    </row>
    <row r="117">
      <c r="A117" s="2">
        <f>IFERROR(INDEX(FILTER(Operaciones!$A$2:$A$151,Operaciones!$B$2:$B$151&lt;&gt;""),105),"")</f>
      </c>
      <c r="B117" s="3">
        <f>IFERROR(INDEX(FILTER(IF(Operaciones!$C$2:$C$151="Venta",Operaciones!$G$2:$G$151,-Operaciones!$G$2:$G$151),Operaciones!$B$2:$B$151&lt;&gt;""),105),"")</f>
      </c>
    </row>
    <row r="118">
      <c r="A118" s="2">
        <f>IFERROR(INDEX(FILTER(Operaciones!$A$2:$A$151,Operaciones!$B$2:$B$151&lt;&gt;""),106),"")</f>
      </c>
      <c r="B118" s="3">
        <f>IFERROR(INDEX(FILTER(IF(Operaciones!$C$2:$C$151="Venta",Operaciones!$G$2:$G$151,-Operaciones!$G$2:$G$151),Operaciones!$B$2:$B$151&lt;&gt;""),106),"")</f>
      </c>
    </row>
    <row r="119">
      <c r="A119" s="2">
        <f>IFERROR(INDEX(FILTER(Operaciones!$A$2:$A$151,Operaciones!$B$2:$B$151&lt;&gt;""),107),"")</f>
      </c>
      <c r="B119" s="3">
        <f>IFERROR(INDEX(FILTER(IF(Operaciones!$C$2:$C$151="Venta",Operaciones!$G$2:$G$151,-Operaciones!$G$2:$G$151),Operaciones!$B$2:$B$151&lt;&gt;""),107),"")</f>
      </c>
    </row>
    <row r="120">
      <c r="A120" s="2">
        <f>IFERROR(INDEX(FILTER(Operaciones!$A$2:$A$151,Operaciones!$B$2:$B$151&lt;&gt;""),108),"")</f>
      </c>
      <c r="B120" s="3">
        <f>IFERROR(INDEX(FILTER(IF(Operaciones!$C$2:$C$151="Venta",Operaciones!$G$2:$G$151,-Operaciones!$G$2:$G$151),Operaciones!$B$2:$B$151&lt;&gt;""),108),"")</f>
      </c>
    </row>
    <row r="121">
      <c r="A121" s="2">
        <f>IFERROR(INDEX(FILTER(Operaciones!$A$2:$A$151,Operaciones!$B$2:$B$151&lt;&gt;""),109),"")</f>
      </c>
      <c r="B121" s="3">
        <f>IFERROR(INDEX(FILTER(IF(Operaciones!$C$2:$C$151="Venta",Operaciones!$G$2:$G$151,-Operaciones!$G$2:$G$151),Operaciones!$B$2:$B$151&lt;&gt;""),109),"")</f>
      </c>
    </row>
    <row r="122">
      <c r="A122" s="2">
        <f>IFERROR(INDEX(FILTER(Operaciones!$A$2:$A$151,Operaciones!$B$2:$B$151&lt;&gt;""),110),"")</f>
      </c>
      <c r="B122" s="3">
        <f>IFERROR(INDEX(FILTER(IF(Operaciones!$C$2:$C$151="Venta",Operaciones!$G$2:$G$151,-Operaciones!$G$2:$G$151),Operaciones!$B$2:$B$151&lt;&gt;""),110),"")</f>
      </c>
    </row>
    <row r="123">
      <c r="A123" s="2">
        <f>IFERROR(INDEX(FILTER(Operaciones!$A$2:$A$151,Operaciones!$B$2:$B$151&lt;&gt;""),111),"")</f>
      </c>
      <c r="B123" s="3">
        <f>IFERROR(INDEX(FILTER(IF(Operaciones!$C$2:$C$151="Venta",Operaciones!$G$2:$G$151,-Operaciones!$G$2:$G$151),Operaciones!$B$2:$B$151&lt;&gt;""),111),"")</f>
      </c>
    </row>
    <row r="124">
      <c r="A124" s="2">
        <f>IFERROR(INDEX(FILTER(Operaciones!$A$2:$A$151,Operaciones!$B$2:$B$151&lt;&gt;""),112),"")</f>
      </c>
      <c r="B124" s="3">
        <f>IFERROR(INDEX(FILTER(IF(Operaciones!$C$2:$C$151="Venta",Operaciones!$G$2:$G$151,-Operaciones!$G$2:$G$151),Operaciones!$B$2:$B$151&lt;&gt;""),112),"")</f>
      </c>
    </row>
    <row r="125">
      <c r="A125" s="2">
        <f>IFERROR(INDEX(FILTER(Operaciones!$A$2:$A$151,Operaciones!$B$2:$B$151&lt;&gt;""),113),"")</f>
      </c>
      <c r="B125" s="3">
        <f>IFERROR(INDEX(FILTER(IF(Operaciones!$C$2:$C$151="Venta",Operaciones!$G$2:$G$151,-Operaciones!$G$2:$G$151),Operaciones!$B$2:$B$151&lt;&gt;""),113),"")</f>
      </c>
    </row>
    <row r="126">
      <c r="A126" s="2">
        <f>IFERROR(INDEX(FILTER(Operaciones!$A$2:$A$151,Operaciones!$B$2:$B$151&lt;&gt;""),114),"")</f>
      </c>
      <c r="B126" s="3">
        <f>IFERROR(INDEX(FILTER(IF(Operaciones!$C$2:$C$151="Venta",Operaciones!$G$2:$G$151,-Operaciones!$G$2:$G$151),Operaciones!$B$2:$B$151&lt;&gt;""),114),"")</f>
      </c>
    </row>
    <row r="127">
      <c r="A127" s="2">
        <f>IFERROR(INDEX(FILTER(Operaciones!$A$2:$A$151,Operaciones!$B$2:$B$151&lt;&gt;""),115),"")</f>
      </c>
      <c r="B127" s="3">
        <f>IFERROR(INDEX(FILTER(IF(Operaciones!$C$2:$C$151="Venta",Operaciones!$G$2:$G$151,-Operaciones!$G$2:$G$151),Operaciones!$B$2:$B$151&lt;&gt;""),115),"")</f>
      </c>
    </row>
    <row r="128">
      <c r="A128" s="2">
        <f>IFERROR(INDEX(FILTER(Operaciones!$A$2:$A$151,Operaciones!$B$2:$B$151&lt;&gt;""),116),"")</f>
      </c>
      <c r="B128" s="3">
        <f>IFERROR(INDEX(FILTER(IF(Operaciones!$C$2:$C$151="Venta",Operaciones!$G$2:$G$151,-Operaciones!$G$2:$G$151),Operaciones!$B$2:$B$151&lt;&gt;""),116),"")</f>
      </c>
    </row>
    <row r="129">
      <c r="A129" s="2">
        <f>IFERROR(INDEX(FILTER(Operaciones!$A$2:$A$151,Operaciones!$B$2:$B$151&lt;&gt;""),117),"")</f>
      </c>
      <c r="B129" s="3">
        <f>IFERROR(INDEX(FILTER(IF(Operaciones!$C$2:$C$151="Venta",Operaciones!$G$2:$G$151,-Operaciones!$G$2:$G$151),Operaciones!$B$2:$B$151&lt;&gt;""),117),"")</f>
      </c>
    </row>
    <row r="130">
      <c r="A130" s="2">
        <f>IFERROR(INDEX(FILTER(Operaciones!$A$2:$A$151,Operaciones!$B$2:$B$151&lt;&gt;""),118),"")</f>
      </c>
      <c r="B130" s="3">
        <f>IFERROR(INDEX(FILTER(IF(Operaciones!$C$2:$C$151="Venta",Operaciones!$G$2:$G$151,-Operaciones!$G$2:$G$151),Operaciones!$B$2:$B$151&lt;&gt;""),118),"")</f>
      </c>
    </row>
    <row r="131">
      <c r="A131" s="2">
        <f>IFERROR(INDEX(FILTER(Operaciones!$A$2:$A$151,Operaciones!$B$2:$B$151&lt;&gt;""),119),"")</f>
      </c>
      <c r="B131" s="3">
        <f>IFERROR(INDEX(FILTER(IF(Operaciones!$C$2:$C$151="Venta",Operaciones!$G$2:$G$151,-Operaciones!$G$2:$G$151),Operaciones!$B$2:$B$151&lt;&gt;""),119),"")</f>
      </c>
    </row>
    <row r="132">
      <c r="A132" s="2">
        <f>IFERROR(INDEX(FILTER(Operaciones!$A$2:$A$151,Operaciones!$B$2:$B$151&lt;&gt;""),120),"")</f>
      </c>
      <c r="B132" s="3">
        <f>IFERROR(INDEX(FILTER(IF(Operaciones!$C$2:$C$151="Venta",Operaciones!$G$2:$G$151,-Operaciones!$G$2:$G$151),Operaciones!$B$2:$B$151&lt;&gt;""),120),"")</f>
      </c>
    </row>
    <row r="133">
      <c r="A133" s="2">
        <f>IFERROR(INDEX(FILTER(Operaciones!$A$2:$A$151,Operaciones!$B$2:$B$151&lt;&gt;""),121),"")</f>
      </c>
      <c r="B133" s="3">
        <f>IFERROR(INDEX(FILTER(IF(Operaciones!$C$2:$C$151="Venta",Operaciones!$G$2:$G$151,-Operaciones!$G$2:$G$151),Operaciones!$B$2:$B$151&lt;&gt;""),121),"")</f>
      </c>
    </row>
    <row r="134">
      <c r="A134" s="2">
        <f>IFERROR(INDEX(FILTER(Operaciones!$A$2:$A$151,Operaciones!$B$2:$B$151&lt;&gt;""),122),"")</f>
      </c>
      <c r="B134" s="3">
        <f>IFERROR(INDEX(FILTER(IF(Operaciones!$C$2:$C$151="Venta",Operaciones!$G$2:$G$151,-Operaciones!$G$2:$G$151),Operaciones!$B$2:$B$151&lt;&gt;""),122),"")</f>
      </c>
    </row>
    <row r="135">
      <c r="A135" s="2">
        <f>IFERROR(INDEX(FILTER(Operaciones!$A$2:$A$151,Operaciones!$B$2:$B$151&lt;&gt;""),123),"")</f>
      </c>
      <c r="B135" s="3">
        <f>IFERROR(INDEX(FILTER(IF(Operaciones!$C$2:$C$151="Venta",Operaciones!$G$2:$G$151,-Operaciones!$G$2:$G$151),Operaciones!$B$2:$B$151&lt;&gt;""),123),"")</f>
      </c>
    </row>
    <row r="136">
      <c r="A136" s="2">
        <f>IFERROR(INDEX(FILTER(Operaciones!$A$2:$A$151,Operaciones!$B$2:$B$151&lt;&gt;""),124),"")</f>
      </c>
      <c r="B136" s="3">
        <f>IFERROR(INDEX(FILTER(IF(Operaciones!$C$2:$C$151="Venta",Operaciones!$G$2:$G$151,-Operaciones!$G$2:$G$151),Operaciones!$B$2:$B$151&lt;&gt;""),124),"")</f>
      </c>
    </row>
    <row r="137">
      <c r="A137" s="2">
        <f>IFERROR(INDEX(FILTER(Operaciones!$A$2:$A$151,Operaciones!$B$2:$B$151&lt;&gt;""),125),"")</f>
      </c>
      <c r="B137" s="3">
        <f>IFERROR(INDEX(FILTER(IF(Operaciones!$C$2:$C$151="Venta",Operaciones!$G$2:$G$151,-Operaciones!$G$2:$G$151),Operaciones!$B$2:$B$151&lt;&gt;""),125),"")</f>
      </c>
    </row>
    <row r="138">
      <c r="A138" s="2">
        <f>IFERROR(INDEX(FILTER(Operaciones!$A$2:$A$151,Operaciones!$B$2:$B$151&lt;&gt;""),126),"")</f>
      </c>
      <c r="B138" s="3">
        <f>IFERROR(INDEX(FILTER(IF(Operaciones!$C$2:$C$151="Venta",Operaciones!$G$2:$G$151,-Operaciones!$G$2:$G$151),Operaciones!$B$2:$B$151&lt;&gt;""),126),"")</f>
      </c>
    </row>
    <row r="139">
      <c r="A139" s="2">
        <f>IFERROR(INDEX(FILTER(Operaciones!$A$2:$A$151,Operaciones!$B$2:$B$151&lt;&gt;""),127),"")</f>
      </c>
      <c r="B139" s="3">
        <f>IFERROR(INDEX(FILTER(IF(Operaciones!$C$2:$C$151="Venta",Operaciones!$G$2:$G$151,-Operaciones!$G$2:$G$151),Operaciones!$B$2:$B$151&lt;&gt;""),127),"")</f>
      </c>
    </row>
    <row r="140">
      <c r="A140" s="2">
        <f>IFERROR(INDEX(FILTER(Operaciones!$A$2:$A$151,Operaciones!$B$2:$B$151&lt;&gt;""),128),"")</f>
      </c>
      <c r="B140" s="3">
        <f>IFERROR(INDEX(FILTER(IF(Operaciones!$C$2:$C$151="Venta",Operaciones!$G$2:$G$151,-Operaciones!$G$2:$G$151),Operaciones!$B$2:$B$151&lt;&gt;""),128),"")</f>
      </c>
    </row>
    <row r="141">
      <c r="A141" s="2">
        <f>IFERROR(INDEX(FILTER(Operaciones!$A$2:$A$151,Operaciones!$B$2:$B$151&lt;&gt;""),129),"")</f>
      </c>
      <c r="B141" s="3">
        <f>IFERROR(INDEX(FILTER(IF(Operaciones!$C$2:$C$151="Venta",Operaciones!$G$2:$G$151,-Operaciones!$G$2:$G$151),Operaciones!$B$2:$B$151&lt;&gt;""),129),"")</f>
      </c>
    </row>
    <row r="142">
      <c r="A142" s="2">
        <f>IFERROR(INDEX(FILTER(Operaciones!$A$2:$A$151,Operaciones!$B$2:$B$151&lt;&gt;""),130),"")</f>
      </c>
      <c r="B142" s="3">
        <f>IFERROR(INDEX(FILTER(IF(Operaciones!$C$2:$C$151="Venta",Operaciones!$G$2:$G$151,-Operaciones!$G$2:$G$151),Operaciones!$B$2:$B$151&lt;&gt;""),130),"")</f>
      </c>
    </row>
    <row r="143">
      <c r="A143" s="2">
        <f>IFERROR(INDEX(FILTER(Operaciones!$A$2:$A$151,Operaciones!$B$2:$B$151&lt;&gt;""),131),"")</f>
      </c>
      <c r="B143" s="3">
        <f>IFERROR(INDEX(FILTER(IF(Operaciones!$C$2:$C$151="Venta",Operaciones!$G$2:$G$151,-Operaciones!$G$2:$G$151),Operaciones!$B$2:$B$151&lt;&gt;""),131),"")</f>
      </c>
    </row>
    <row r="144">
      <c r="A144" s="2">
        <f>IFERROR(INDEX(FILTER(Operaciones!$A$2:$A$151,Operaciones!$B$2:$B$151&lt;&gt;""),132),"")</f>
      </c>
      <c r="B144" s="3">
        <f>IFERROR(INDEX(FILTER(IF(Operaciones!$C$2:$C$151="Venta",Operaciones!$G$2:$G$151,-Operaciones!$G$2:$G$151),Operaciones!$B$2:$B$151&lt;&gt;""),132),"")</f>
      </c>
    </row>
    <row r="145">
      <c r="A145" s="2">
        <f>IFERROR(INDEX(FILTER(Operaciones!$A$2:$A$151,Operaciones!$B$2:$B$151&lt;&gt;""),133),"")</f>
      </c>
      <c r="B145" s="3">
        <f>IFERROR(INDEX(FILTER(IF(Operaciones!$C$2:$C$151="Venta",Operaciones!$G$2:$G$151,-Operaciones!$G$2:$G$151),Operaciones!$B$2:$B$151&lt;&gt;""),133),"")</f>
      </c>
    </row>
    <row r="146">
      <c r="A146" s="2">
        <f>IFERROR(INDEX(FILTER(Operaciones!$A$2:$A$151,Operaciones!$B$2:$B$151&lt;&gt;""),134),"")</f>
      </c>
      <c r="B146" s="3">
        <f>IFERROR(INDEX(FILTER(IF(Operaciones!$C$2:$C$151="Venta",Operaciones!$G$2:$G$151,-Operaciones!$G$2:$G$151),Operaciones!$B$2:$B$151&lt;&gt;""),134),"")</f>
      </c>
    </row>
    <row r="147">
      <c r="A147" s="2">
        <f>IFERROR(INDEX(FILTER(Operaciones!$A$2:$A$151,Operaciones!$B$2:$B$151&lt;&gt;""),135),"")</f>
      </c>
      <c r="B147" s="3">
        <f>IFERROR(INDEX(FILTER(IF(Operaciones!$C$2:$C$151="Venta",Operaciones!$G$2:$G$151,-Operaciones!$G$2:$G$151),Operaciones!$B$2:$B$151&lt;&gt;""),135),"")</f>
      </c>
    </row>
    <row r="148">
      <c r="A148" s="2">
        <f>IFERROR(INDEX(FILTER(Operaciones!$A$2:$A$151,Operaciones!$B$2:$B$151&lt;&gt;""),136),"")</f>
      </c>
      <c r="B148" s="3">
        <f>IFERROR(INDEX(FILTER(IF(Operaciones!$C$2:$C$151="Venta",Operaciones!$G$2:$G$151,-Operaciones!$G$2:$G$151),Operaciones!$B$2:$B$151&lt;&gt;""),136),"")</f>
      </c>
    </row>
    <row r="149">
      <c r="A149" s="2">
        <f>IFERROR(INDEX(FILTER(Operaciones!$A$2:$A$151,Operaciones!$B$2:$B$151&lt;&gt;""),137),"")</f>
      </c>
      <c r="B149" s="3">
        <f>IFERROR(INDEX(FILTER(IF(Operaciones!$C$2:$C$151="Venta",Operaciones!$G$2:$G$151,-Operaciones!$G$2:$G$151),Operaciones!$B$2:$B$151&lt;&gt;""),137),"")</f>
      </c>
    </row>
    <row r="150">
      <c r="A150" s="2">
        <f>IFERROR(INDEX(FILTER(Operaciones!$A$2:$A$151,Operaciones!$B$2:$B$151&lt;&gt;""),138),"")</f>
      </c>
      <c r="B150" s="3">
        <f>IFERROR(INDEX(FILTER(IF(Operaciones!$C$2:$C$151="Venta",Operaciones!$G$2:$G$151,-Operaciones!$G$2:$G$151),Operaciones!$B$2:$B$151&lt;&gt;""),138),"")</f>
      </c>
    </row>
    <row r="151">
      <c r="A151" s="2">
        <f>IFERROR(INDEX(FILTER(Operaciones!$A$2:$A$151,Operaciones!$B$2:$B$151&lt;&gt;""),139),"")</f>
      </c>
      <c r="B151" s="3">
        <f>IFERROR(INDEX(FILTER(IF(Operaciones!$C$2:$C$151="Venta",Operaciones!$G$2:$G$151,-Operaciones!$G$2:$G$151),Operaciones!$B$2:$B$151&lt;&gt;""),139),"")</f>
      </c>
    </row>
    <row r="152">
      <c r="A152" s="2">
        <f>IFERROR(INDEX(FILTER(Operaciones!$A$2:$A$151,Operaciones!$B$2:$B$151&lt;&gt;""),140),"")</f>
      </c>
      <c r="B152" s="3">
        <f>IFERROR(INDEX(FILTER(IF(Operaciones!$C$2:$C$151="Venta",Operaciones!$G$2:$G$151,-Operaciones!$G$2:$G$151),Operaciones!$B$2:$B$151&lt;&gt;""),140),"")</f>
      </c>
    </row>
    <row r="153">
      <c r="A153" s="2">
        <f>IFERROR(INDEX(FILTER(Operaciones!$A$2:$A$151,Operaciones!$B$2:$B$151&lt;&gt;""),141),"")</f>
      </c>
      <c r="B153" s="3">
        <f>IFERROR(INDEX(FILTER(IF(Operaciones!$C$2:$C$151="Venta",Operaciones!$G$2:$G$151,-Operaciones!$G$2:$G$151),Operaciones!$B$2:$B$151&lt;&gt;""),141),"")</f>
      </c>
    </row>
    <row r="154">
      <c r="A154" s="2">
        <f>IFERROR(INDEX(FILTER(Operaciones!$A$2:$A$151,Operaciones!$B$2:$B$151&lt;&gt;""),142),"")</f>
      </c>
      <c r="B154" s="3">
        <f>IFERROR(INDEX(FILTER(IF(Operaciones!$C$2:$C$151="Venta",Operaciones!$G$2:$G$151,-Operaciones!$G$2:$G$151),Operaciones!$B$2:$B$151&lt;&gt;""),142),"")</f>
      </c>
    </row>
    <row r="155">
      <c r="A155" s="2">
        <f>IFERROR(INDEX(FILTER(Operaciones!$A$2:$A$151,Operaciones!$B$2:$B$151&lt;&gt;""),143),"")</f>
      </c>
      <c r="B155" s="3">
        <f>IFERROR(INDEX(FILTER(IF(Operaciones!$C$2:$C$151="Venta",Operaciones!$G$2:$G$151,-Operaciones!$G$2:$G$151),Operaciones!$B$2:$B$151&lt;&gt;""),143),"")</f>
      </c>
    </row>
    <row r="156">
      <c r="A156" s="2">
        <f>IFERROR(INDEX(FILTER(Operaciones!$A$2:$A$151,Operaciones!$B$2:$B$151&lt;&gt;""),144),"")</f>
      </c>
      <c r="B156" s="3">
        <f>IFERROR(INDEX(FILTER(IF(Operaciones!$C$2:$C$151="Venta",Operaciones!$G$2:$G$151,-Operaciones!$G$2:$G$151),Operaciones!$B$2:$B$151&lt;&gt;""),144),"")</f>
      </c>
    </row>
    <row r="157">
      <c r="A157" s="2">
        <f>IFERROR(INDEX(FILTER(Operaciones!$A$2:$A$151,Operaciones!$B$2:$B$151&lt;&gt;""),145),"")</f>
      </c>
      <c r="B157" s="3">
        <f>IFERROR(INDEX(FILTER(IF(Operaciones!$C$2:$C$151="Venta",Operaciones!$G$2:$G$151,-Operaciones!$G$2:$G$151),Operaciones!$B$2:$B$151&lt;&gt;""),145),"")</f>
      </c>
    </row>
    <row r="158">
      <c r="A158" s="2">
        <f>IFERROR(INDEX(FILTER(Operaciones!$A$2:$A$151,Operaciones!$B$2:$B$151&lt;&gt;""),146),"")</f>
      </c>
      <c r="B158" s="3">
        <f>IFERROR(INDEX(FILTER(IF(Operaciones!$C$2:$C$151="Venta",Operaciones!$G$2:$G$151,-Operaciones!$G$2:$G$151),Operaciones!$B$2:$B$151&lt;&gt;""),146),"")</f>
      </c>
    </row>
    <row r="159">
      <c r="A159" s="2">
        <f>IFERROR(INDEX(FILTER(Operaciones!$A$2:$A$151,Operaciones!$B$2:$B$151&lt;&gt;""),147),"")</f>
      </c>
      <c r="B159" s="3">
        <f>IFERROR(INDEX(FILTER(IF(Operaciones!$C$2:$C$151="Venta",Operaciones!$G$2:$G$151,-Operaciones!$G$2:$G$151),Operaciones!$B$2:$B$151&lt;&gt;""),147),"")</f>
      </c>
    </row>
    <row r="160">
      <c r="A160" s="2">
        <f>IFERROR(INDEX(FILTER(Operaciones!$A$2:$A$151,Operaciones!$B$2:$B$151&lt;&gt;""),148),"")</f>
      </c>
      <c r="B160" s="3">
        <f>IFERROR(INDEX(FILTER(IF(Operaciones!$C$2:$C$151="Venta",Operaciones!$G$2:$G$151,-Operaciones!$G$2:$G$151),Operaciones!$B$2:$B$151&lt;&gt;""),148),"")</f>
      </c>
    </row>
    <row r="161">
      <c r="A161" s="2">
        <f>IFERROR(INDEX(FILTER(Operaciones!$A$2:$A$151,Operaciones!$B$2:$B$151&lt;&gt;""),149),"")</f>
      </c>
      <c r="B161" s="3">
        <f>IFERROR(INDEX(FILTER(IF(Operaciones!$C$2:$C$151="Venta",Operaciones!$G$2:$G$151,-Operaciones!$G$2:$G$151),Operaciones!$B$2:$B$151&lt;&gt;""),149),"")</f>
      </c>
    </row>
    <row r="162">
      <c r="A162" s="2">
        <f>IFERROR(INDEX(FILTER(Operaciones!$A$2:$A$151,Operaciones!$B$2:$B$151&lt;&gt;""),150),"")</f>
      </c>
      <c r="B162" s="3">
        <f>IFERROR(INDEX(FILTER(IF(Operaciones!$C$2:$C$151="Venta",Operaciones!$G$2:$G$151,-Operaciones!$G$2:$G$151),Operaciones!$B$2:$B$151&lt;&gt;""),150),"")</f>
      </c>
    </row>
  </sheetData>
</worksheet>
</file>